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60" yWindow="2520" windowWidth="6285" windowHeight="4485"/>
  </bookViews>
  <sheets>
    <sheet name="I01-鉱業" sheetId="1" r:id="rId1"/>
    <sheet name="I03-製造" sheetId="2" r:id="rId2"/>
    <sheet name="I05-町村" sheetId="3" r:id="rId3"/>
    <sheet name="I06-薬品" sheetId="4" r:id="rId4"/>
    <sheet name="I07-酒類" sheetId="5" r:id="rId5"/>
    <sheet name="I08-IIP" sheetId="6" r:id="rId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\o">#N/A</definedName>
    <definedName name="\p">#N/A</definedName>
    <definedName name="\q">#N/A</definedName>
    <definedName name="_xlnm.Print_Area" localSheetId="0">'I01-鉱業'!$A$1:$K$72</definedName>
    <definedName name="_xlnm.Print_Area" localSheetId="1">'I03-製造'!$A$1:$J$885</definedName>
    <definedName name="_xlnm.Print_Area" localSheetId="2">'I05-町村'!$A$1:$J$74</definedName>
    <definedName name="_xlnm.Print_Area" localSheetId="3">'I06-薬品'!$A$1:$J$69</definedName>
    <definedName name="_xlnm.Print_Area" localSheetId="4">'I07-酒類'!$A$1:$K$66</definedName>
    <definedName name="_xlnm.Print_Area" localSheetId="5">'I08-IIP'!$A$1:$L$142</definedName>
    <definedName name="Print_Area_MI" localSheetId="0">'I01-鉱業'!$A$1:$K$72</definedName>
    <definedName name="Print_Area_MI" localSheetId="1">'I03-製造'!$A$1:$J$885</definedName>
    <definedName name="Print_Area_MI" localSheetId="2">'I05-町村'!$A$1:$J$74</definedName>
    <definedName name="Print_Area_MI" localSheetId="3">'I06-薬品'!$A$1:$J$69</definedName>
    <definedName name="Print_Area_MI" localSheetId="4">'I07-酒類'!$A$1:$K$66</definedName>
    <definedName name="Print_Area_MI" localSheetId="5">'I08-IIP'!$A$1:$L$142</definedName>
  </definedNames>
  <calcPr calcId="145621"/>
</workbook>
</file>

<file path=xl/calcChain.xml><?xml version="1.0" encoding="utf-8"?>
<calcChain xmlns="http://schemas.openxmlformats.org/spreadsheetml/2006/main">
  <c r="F13" i="6" l="1"/>
  <c r="D13" i="6" s="1"/>
  <c r="F14" i="6"/>
  <c r="D14" i="6" s="1"/>
  <c r="L84" i="6"/>
  <c r="L85" i="6"/>
  <c r="D13" i="5"/>
  <c r="C13" i="5" s="1"/>
  <c r="F13" i="5"/>
  <c r="C14" i="5"/>
  <c r="C15" i="5"/>
  <c r="C17" i="5"/>
  <c r="C18" i="5"/>
  <c r="C19" i="5"/>
  <c r="C21" i="5"/>
  <c r="C22" i="5"/>
  <c r="C23" i="5"/>
  <c r="C25" i="5"/>
  <c r="C26" i="5"/>
  <c r="C27" i="5"/>
  <c r="C29" i="5"/>
  <c r="C30" i="5"/>
  <c r="C31" i="5"/>
  <c r="D31" i="5"/>
  <c r="F31" i="5"/>
  <c r="G31" i="5"/>
  <c r="H31" i="5"/>
  <c r="C41" i="5"/>
  <c r="D41" i="5"/>
  <c r="E41" i="5"/>
  <c r="C42" i="5"/>
  <c r="H43" i="5"/>
  <c r="C43" i="5" s="1"/>
  <c r="I43" i="5"/>
  <c r="J43" i="5"/>
  <c r="D45" i="5"/>
  <c r="C45" i="5" s="1"/>
  <c r="E45" i="5"/>
  <c r="F45" i="5"/>
  <c r="G45" i="5"/>
  <c r="D46" i="5"/>
  <c r="C46" i="5" s="1"/>
  <c r="E46" i="5"/>
  <c r="D47" i="5"/>
  <c r="C47" i="5" s="1"/>
  <c r="E47" i="5"/>
  <c r="F47" i="5"/>
  <c r="G47" i="5"/>
  <c r="H47" i="5"/>
  <c r="I47" i="5"/>
  <c r="J47" i="5"/>
  <c r="D49" i="5"/>
  <c r="C49" i="5" s="1"/>
  <c r="E49" i="5"/>
  <c r="D50" i="5"/>
  <c r="C50" i="5" s="1"/>
  <c r="E50" i="5"/>
  <c r="F50" i="5"/>
  <c r="G50" i="5"/>
  <c r="D51" i="5"/>
  <c r="C51" i="5" s="1"/>
  <c r="E51" i="5"/>
  <c r="D53" i="5"/>
  <c r="C53" i="5" s="1"/>
  <c r="E53" i="5"/>
  <c r="C54" i="5"/>
  <c r="C55" i="5"/>
  <c r="C57" i="5"/>
  <c r="C58" i="5"/>
  <c r="C59" i="5"/>
  <c r="C61" i="5"/>
  <c r="C62" i="5"/>
  <c r="D13" i="4"/>
  <c r="D11" i="4" s="1"/>
  <c r="E13" i="4"/>
  <c r="E11" i="4" s="1"/>
  <c r="F13" i="4"/>
  <c r="F11" i="4" s="1"/>
  <c r="G13" i="4"/>
  <c r="G11" i="4" s="1"/>
  <c r="H13" i="4"/>
  <c r="H11" i="4" s="1"/>
  <c r="I13" i="4"/>
  <c r="I11" i="4" s="1"/>
  <c r="J13" i="4"/>
  <c r="J11" i="4" s="1"/>
  <c r="D46" i="4"/>
  <c r="E46" i="4"/>
  <c r="F46" i="4"/>
  <c r="G46" i="4"/>
  <c r="H46" i="4"/>
  <c r="I46" i="4"/>
  <c r="J46" i="4"/>
  <c r="D12" i="3"/>
  <c r="E12" i="3"/>
  <c r="F12" i="3"/>
  <c r="G12" i="3"/>
  <c r="H12" i="3"/>
  <c r="I12" i="3"/>
  <c r="J12" i="3"/>
  <c r="E23" i="2"/>
  <c r="F23" i="2"/>
  <c r="G23" i="2"/>
  <c r="H23" i="2"/>
  <c r="I23" i="2"/>
  <c r="J23" i="2"/>
  <c r="E45" i="2"/>
  <c r="F45" i="2"/>
  <c r="E46" i="2"/>
  <c r="F46" i="2"/>
  <c r="J46" i="2"/>
  <c r="E47" i="2"/>
  <c r="F47" i="2"/>
  <c r="G47" i="2"/>
  <c r="H47" i="2"/>
  <c r="J47" i="2"/>
  <c r="E48" i="2"/>
  <c r="F48" i="2"/>
  <c r="H48" i="2"/>
  <c r="J48" i="2"/>
  <c r="E50" i="2"/>
  <c r="F50" i="2"/>
  <c r="I50" i="2"/>
  <c r="E51" i="2"/>
  <c r="F51" i="2"/>
  <c r="E52" i="2"/>
  <c r="F52" i="2"/>
  <c r="H52" i="2"/>
  <c r="J52" i="2"/>
  <c r="E53" i="2"/>
  <c r="F53" i="2"/>
  <c r="E55" i="2"/>
  <c r="F55" i="2"/>
  <c r="G55" i="2"/>
  <c r="I55" i="2"/>
  <c r="E56" i="2"/>
  <c r="F56" i="2"/>
  <c r="G56" i="2"/>
  <c r="H56" i="2"/>
  <c r="I56" i="2"/>
  <c r="J56" i="2"/>
  <c r="E57" i="2"/>
  <c r="F57" i="2"/>
  <c r="E58" i="2"/>
  <c r="F58" i="2"/>
  <c r="H58" i="2"/>
  <c r="J58" i="2"/>
  <c r="E60" i="2"/>
  <c r="F60" i="2"/>
  <c r="H60" i="2"/>
  <c r="E61" i="2"/>
  <c r="F61" i="2"/>
  <c r="G61" i="2"/>
  <c r="H61" i="2"/>
  <c r="E62" i="2"/>
  <c r="F62" i="2"/>
  <c r="E63" i="2"/>
  <c r="F63" i="2"/>
  <c r="H63" i="2"/>
  <c r="E65" i="2"/>
  <c r="F65" i="2"/>
  <c r="G65" i="2"/>
  <c r="H65" i="2"/>
  <c r="J65" i="2"/>
  <c r="E66" i="2"/>
  <c r="F66" i="2"/>
  <c r="G66" i="2"/>
  <c r="H66" i="2"/>
  <c r="I66" i="2"/>
  <c r="J66" i="2"/>
  <c r="E67" i="2"/>
  <c r="F67" i="2"/>
  <c r="G67" i="2"/>
  <c r="H67" i="2"/>
  <c r="I67" i="2"/>
  <c r="J67" i="2"/>
  <c r="E68" i="2"/>
  <c r="F68" i="2"/>
  <c r="G68" i="2"/>
  <c r="H68" i="2"/>
  <c r="I68" i="2"/>
  <c r="J68" i="2"/>
  <c r="E69" i="2"/>
  <c r="F69" i="2"/>
  <c r="G69" i="2"/>
  <c r="H69" i="2"/>
  <c r="I69" i="2"/>
  <c r="J69" i="2"/>
  <c r="G87" i="2"/>
  <c r="H87" i="2"/>
  <c r="I87" i="2"/>
  <c r="J87" i="2"/>
  <c r="G88" i="2"/>
  <c r="H88" i="2"/>
  <c r="I88" i="2"/>
  <c r="J88" i="2"/>
  <c r="G89" i="2"/>
  <c r="H89" i="2"/>
  <c r="I89" i="2"/>
  <c r="I47" i="2" s="1"/>
  <c r="G90" i="2"/>
  <c r="G48" i="2" s="1"/>
  <c r="I90" i="2"/>
  <c r="I48" i="2" s="1"/>
  <c r="G92" i="2"/>
  <c r="G50" i="2" s="1"/>
  <c r="H92" i="2"/>
  <c r="H50" i="2" s="1"/>
  <c r="J92" i="2"/>
  <c r="J50" i="2" s="1"/>
  <c r="G93" i="2"/>
  <c r="G51" i="2" s="1"/>
  <c r="H93" i="2"/>
  <c r="H51" i="2" s="1"/>
  <c r="I93" i="2"/>
  <c r="I51" i="2" s="1"/>
  <c r="J93" i="2"/>
  <c r="J51" i="2" s="1"/>
  <c r="G94" i="2"/>
  <c r="G52" i="2" s="1"/>
  <c r="I94" i="2"/>
  <c r="I52" i="2" s="1"/>
  <c r="G95" i="2"/>
  <c r="H95" i="2"/>
  <c r="I95" i="2"/>
  <c r="J95" i="2"/>
  <c r="H97" i="2"/>
  <c r="I97" i="2"/>
  <c r="J97" i="2"/>
  <c r="I98" i="2"/>
  <c r="G99" i="2"/>
  <c r="G57" i="2" s="1"/>
  <c r="H99" i="2"/>
  <c r="H57" i="2" s="1"/>
  <c r="I99" i="2"/>
  <c r="I57" i="2" s="1"/>
  <c r="J99" i="2"/>
  <c r="J57" i="2" s="1"/>
  <c r="G100" i="2"/>
  <c r="G58" i="2" s="1"/>
  <c r="I100" i="2"/>
  <c r="I58" i="2" s="1"/>
  <c r="G102" i="2"/>
  <c r="G60" i="2" s="1"/>
  <c r="H102" i="2"/>
  <c r="I102" i="2"/>
  <c r="I60" i="2" s="1"/>
  <c r="J102" i="2"/>
  <c r="J60" i="2" s="1"/>
  <c r="H103" i="2"/>
  <c r="I103" i="2"/>
  <c r="I61" i="2" s="1"/>
  <c r="J103" i="2"/>
  <c r="J61" i="2" s="1"/>
  <c r="G104" i="2"/>
  <c r="G62" i="2" s="1"/>
  <c r="H104" i="2"/>
  <c r="I104" i="2"/>
  <c r="J104" i="2"/>
  <c r="G105" i="2"/>
  <c r="I105" i="2"/>
  <c r="J105" i="2"/>
  <c r="I107" i="2"/>
  <c r="G125" i="2"/>
  <c r="I125" i="2"/>
  <c r="G126" i="2"/>
  <c r="G53" i="2" s="1"/>
  <c r="H126" i="2"/>
  <c r="H53" i="2" s="1"/>
  <c r="I126" i="2"/>
  <c r="I53" i="2" s="1"/>
  <c r="J126" i="2"/>
  <c r="J53" i="2" s="1"/>
  <c r="H128" i="2"/>
  <c r="H55" i="2" s="1"/>
  <c r="I128" i="2"/>
  <c r="J128" i="2"/>
  <c r="J55" i="2" s="1"/>
  <c r="I129" i="2"/>
  <c r="G130" i="2"/>
  <c r="H130" i="2"/>
  <c r="I130" i="2"/>
  <c r="J130" i="2"/>
  <c r="G131" i="2"/>
  <c r="I131" i="2"/>
  <c r="G133" i="2"/>
  <c r="H133" i="2"/>
  <c r="I133" i="2"/>
  <c r="J133" i="2"/>
  <c r="H134" i="2"/>
  <c r="I134" i="2"/>
  <c r="J134" i="2"/>
  <c r="G135" i="2"/>
  <c r="H135" i="2"/>
  <c r="H62" i="2" s="1"/>
  <c r="J135" i="2"/>
  <c r="J62" i="2" s="1"/>
  <c r="G136" i="2"/>
  <c r="G63" i="2" s="1"/>
  <c r="I136" i="2"/>
  <c r="I63" i="2" s="1"/>
  <c r="J136" i="2"/>
  <c r="J63" i="2" s="1"/>
  <c r="I138" i="2"/>
  <c r="G160" i="2"/>
  <c r="G45" i="2" s="1"/>
  <c r="H160" i="2"/>
  <c r="H45" i="2" s="1"/>
  <c r="I160" i="2"/>
  <c r="I45" i="2" s="1"/>
  <c r="J160" i="2"/>
  <c r="J45" i="2" s="1"/>
  <c r="G161" i="2"/>
  <c r="G46" i="2" s="1"/>
  <c r="H161" i="2"/>
  <c r="H46" i="2" s="1"/>
  <c r="I161" i="2"/>
  <c r="I46" i="2" s="1"/>
  <c r="J161" i="2"/>
  <c r="G162" i="2"/>
  <c r="H162" i="2"/>
  <c r="I162" i="2"/>
  <c r="G163" i="2"/>
  <c r="I163" i="2"/>
  <c r="G165" i="2"/>
  <c r="H165" i="2"/>
  <c r="J165" i="2"/>
  <c r="G166" i="2"/>
  <c r="H166" i="2"/>
  <c r="I166" i="2"/>
  <c r="I167" i="2"/>
  <c r="H172" i="2"/>
  <c r="I173" i="2"/>
  <c r="I176" i="2"/>
  <c r="G177" i="2"/>
  <c r="H177" i="2"/>
  <c r="I177" i="2"/>
  <c r="I62" i="2" s="1"/>
  <c r="J177" i="2"/>
  <c r="G178" i="2"/>
  <c r="I180" i="2"/>
  <c r="I65" i="2" s="1"/>
  <c r="G191" i="2"/>
  <c r="H191" i="2"/>
  <c r="I191" i="2"/>
  <c r="J191" i="2"/>
  <c r="I192" i="2"/>
  <c r="H193" i="2"/>
  <c r="I194" i="2"/>
  <c r="G196" i="2"/>
  <c r="H196" i="2"/>
  <c r="J196" i="2"/>
  <c r="I197" i="2"/>
  <c r="J197" i="2"/>
  <c r="I198" i="2"/>
  <c r="H203" i="2"/>
  <c r="I204" i="2"/>
  <c r="I207" i="2"/>
  <c r="G208" i="2"/>
  <c r="J208" i="2"/>
  <c r="G209" i="2"/>
  <c r="I211" i="2"/>
  <c r="G234" i="2"/>
  <c r="H234" i="2"/>
  <c r="I234" i="2"/>
  <c r="J234" i="2"/>
  <c r="I235" i="2"/>
  <c r="I237" i="2"/>
  <c r="G239" i="2"/>
  <c r="H239" i="2"/>
  <c r="J239" i="2"/>
  <c r="I240" i="2"/>
  <c r="I250" i="2"/>
  <c r="G251" i="2"/>
  <c r="G252" i="2"/>
  <c r="I254" i="2"/>
  <c r="G265" i="2"/>
  <c r="H265" i="2"/>
  <c r="I265" i="2"/>
  <c r="J265" i="2"/>
  <c r="H267" i="2"/>
  <c r="I281" i="2"/>
  <c r="J282" i="2"/>
  <c r="I285" i="2"/>
  <c r="G308" i="2"/>
  <c r="H308" i="2"/>
  <c r="I308" i="2"/>
  <c r="J308" i="2"/>
  <c r="I328" i="2"/>
  <c r="G339" i="2"/>
  <c r="H339" i="2"/>
  <c r="I339" i="2"/>
  <c r="J339" i="2"/>
  <c r="G382" i="2"/>
  <c r="H382" i="2"/>
  <c r="I382" i="2"/>
  <c r="J382" i="2"/>
  <c r="I398" i="2"/>
  <c r="G413" i="2"/>
  <c r="H413" i="2"/>
  <c r="I413" i="2"/>
  <c r="J413" i="2"/>
  <c r="I429" i="2"/>
  <c r="J430" i="2"/>
  <c r="G487" i="2"/>
  <c r="H487" i="2"/>
  <c r="I487" i="2"/>
  <c r="J487" i="2"/>
  <c r="G529" i="2"/>
  <c r="H529" i="2"/>
  <c r="I529" i="2"/>
  <c r="J529" i="2"/>
  <c r="G560" i="2"/>
  <c r="H560" i="2"/>
  <c r="I560" i="2"/>
  <c r="J560" i="2"/>
  <c r="G603" i="2"/>
  <c r="H603" i="2"/>
  <c r="I603" i="2"/>
  <c r="J603" i="2"/>
  <c r="G634" i="2"/>
  <c r="H634" i="2"/>
  <c r="I634" i="2"/>
  <c r="J634" i="2"/>
  <c r="G677" i="2"/>
  <c r="H677" i="2"/>
  <c r="I677" i="2"/>
  <c r="G708" i="2"/>
  <c r="H708" i="2"/>
  <c r="I708" i="2"/>
  <c r="G751" i="2"/>
  <c r="H751" i="2"/>
  <c r="I751" i="2"/>
  <c r="G782" i="2"/>
  <c r="H782" i="2"/>
  <c r="I782" i="2"/>
  <c r="G825" i="2"/>
  <c r="H825" i="2"/>
  <c r="I825" i="2"/>
  <c r="G856" i="2"/>
  <c r="H856" i="2"/>
  <c r="I856" i="2"/>
  <c r="C14" i="1" l="1"/>
  <c r="H14" i="1"/>
  <c r="C15" i="1"/>
  <c r="H15" i="1"/>
  <c r="C16" i="1"/>
  <c r="H16" i="1"/>
  <c r="C17" i="1"/>
  <c r="H17" i="1"/>
  <c r="C19" i="1"/>
  <c r="H19" i="1"/>
  <c r="C20" i="1"/>
  <c r="H20" i="1"/>
  <c r="H21" i="1"/>
  <c r="D22" i="1"/>
  <c r="C22" i="1" s="1"/>
  <c r="E22" i="1"/>
  <c r="F22" i="1"/>
  <c r="I22" i="1"/>
  <c r="H22" i="1" s="1"/>
  <c r="J22" i="1"/>
  <c r="K22" i="1"/>
  <c r="C24" i="1"/>
  <c r="H24" i="1"/>
  <c r="C25" i="1"/>
  <c r="H25" i="1"/>
  <c r="C26" i="1"/>
  <c r="H26" i="1"/>
  <c r="C27" i="1"/>
  <c r="H27" i="1"/>
  <c r="C28" i="1"/>
  <c r="H28" i="1"/>
  <c r="C29" i="1"/>
  <c r="H29" i="1"/>
  <c r="C31" i="1"/>
  <c r="H31" i="1"/>
  <c r="C32" i="1"/>
  <c r="H32" i="1"/>
  <c r="C33" i="1"/>
  <c r="H33" i="1"/>
  <c r="C34" i="1"/>
  <c r="H34" i="1"/>
  <c r="C35" i="1"/>
  <c r="H35" i="1"/>
  <c r="C36" i="1"/>
  <c r="H36" i="1"/>
</calcChain>
</file>

<file path=xl/sharedStrings.xml><?xml version="1.0" encoding="utf-8"?>
<sst xmlns="http://schemas.openxmlformats.org/spreadsheetml/2006/main" count="1536" uniqueCount="374">
  <si>
    <t>Ｉ　鉱業・製造業</t>
  </si>
  <si>
    <t xml:space="preserve">   Ｉ-01 砕石生産量，出荷量</t>
  </si>
  <si>
    <t>調査の対象範囲は，砕石法及び鉱業法に定められた鉱物のうち，石灰石，</t>
  </si>
  <si>
    <t>けい石，ドロマイトを砕石し，これを砕石している事業所。砂利採取法の</t>
  </si>
  <si>
    <t>砂利及び鉱業法・鉱山保安法の鉱さいを取り扱う事業所は含まない。</t>
  </si>
  <si>
    <t xml:space="preserve">   砕石出荷量    ［出荷先府県別］</t>
  </si>
  <si>
    <t xml:space="preserve">   砕石生産量     ［用途別］</t>
  </si>
  <si>
    <t xml:space="preserve"> 総数</t>
  </si>
  <si>
    <t xml:space="preserve"> 県内</t>
  </si>
  <si>
    <t xml:space="preserve"> 大阪府</t>
  </si>
  <si>
    <t xml:space="preserve"> 奈良県</t>
  </si>
  <si>
    <t xml:space="preserve"> 事業所数</t>
  </si>
  <si>
    <t xml:space="preserve"> 道路用</t>
  </si>
  <si>
    <t>ｺﾝｸﾘ-ﾄ用</t>
  </si>
  <si>
    <t>その他</t>
  </si>
  <si>
    <t>昭和55年1980</t>
  </si>
  <si>
    <t xml:space="preserve">    60  1985</t>
  </si>
  <si>
    <t>平成 2  1990</t>
  </si>
  <si>
    <t xml:space="preserve">     7  1995</t>
  </si>
  <si>
    <t xml:space="preserve">     9  1997</t>
  </si>
  <si>
    <t xml:space="preserve">    10  1998</t>
  </si>
  <si>
    <t xml:space="preserve">    11  1999</t>
  </si>
  <si>
    <t xml:space="preserve">       1月</t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</si>
  <si>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</si>
  <si>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</si>
  <si>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</si>
  <si>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</si>
  <si>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</si>
  <si>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</si>
  <si>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</si>
  <si>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</si>
  <si>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</si>
  <si>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</si>
  <si>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</si>
  <si>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 xml:space="preserve">         単位：千ﾄﾝ</t>
    <phoneticPr fontId="2"/>
  </si>
  <si>
    <t xml:space="preserve"> ┐</t>
    <phoneticPr fontId="2"/>
  </si>
  <si>
    <t xml:space="preserve"> ├     8     </t>
    <phoneticPr fontId="2"/>
  </si>
  <si>
    <t xml:space="preserve"> ┘</t>
    <phoneticPr fontId="2"/>
  </si>
  <si>
    <t xml:space="preserve"> ├     8</t>
    <phoneticPr fontId="2"/>
  </si>
  <si>
    <t>資料：経済産業省「砕石統計年報」</t>
    <rPh sb="3" eb="5">
      <t>ケイザイ</t>
    </rPh>
    <rPh sb="5" eb="7">
      <t>サンギョウ</t>
    </rPh>
    <rPh sb="7" eb="8">
      <t>ショウ</t>
    </rPh>
    <phoneticPr fontId="2"/>
  </si>
  <si>
    <t xml:space="preserve">   12  2000</t>
    <phoneticPr fontId="2"/>
  </si>
  <si>
    <t>　　　注2）昭和55年以前は全事業所。</t>
    <phoneticPr fontId="2"/>
  </si>
  <si>
    <t>　　　注1）従業者 9人以下は粗付加価値額。</t>
    <phoneticPr fontId="2"/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</si>
  <si>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5">
      <t>サンギョウキョク</t>
    </rPh>
    <phoneticPr fontId="2"/>
  </si>
  <si>
    <t xml:space="preserve">    11   1999</t>
    <phoneticPr fontId="2"/>
  </si>
  <si>
    <t xml:space="preserve">    10   1998</t>
  </si>
  <si>
    <t>X</t>
    <phoneticPr fontId="2"/>
  </si>
  <si>
    <t xml:space="preserve">     9   1997</t>
  </si>
  <si>
    <t xml:space="preserve">     8   1996</t>
  </si>
  <si>
    <t xml:space="preserve">     7   1995</t>
  </si>
  <si>
    <t xml:space="preserve">     6   1994</t>
  </si>
  <si>
    <t xml:space="preserve">     5   1993</t>
  </si>
  <si>
    <t xml:space="preserve">     4   1992</t>
  </si>
  <si>
    <t xml:space="preserve">     3   1991</t>
  </si>
  <si>
    <t xml:space="preserve">     2   1990</t>
  </si>
  <si>
    <t>平成元   1989</t>
  </si>
  <si>
    <t xml:space="preserve">    63   1988</t>
  </si>
  <si>
    <t xml:space="preserve">    62   1987</t>
  </si>
  <si>
    <t xml:space="preserve">    61   1986</t>
  </si>
  <si>
    <t xml:space="preserve">    60   1985</t>
  </si>
  <si>
    <t xml:space="preserve">    59   1984</t>
  </si>
  <si>
    <t xml:space="preserve">    58   1983</t>
  </si>
  <si>
    <t xml:space="preserve">    57   1982</t>
  </si>
  <si>
    <t xml:space="preserve">    56   1981</t>
  </si>
  <si>
    <t xml:space="preserve">    55   1980 注2)</t>
  </si>
  <si>
    <t>昭和54年 1979 注2)</t>
    <phoneticPr fontId="2"/>
  </si>
  <si>
    <t>　百万円</t>
  </si>
  <si>
    <t>人</t>
  </si>
  <si>
    <t xml:space="preserve"> 付加価値額</t>
  </si>
  <si>
    <t xml:space="preserve">  出荷額等</t>
  </si>
  <si>
    <t xml:space="preserve">  使用額等</t>
  </si>
  <si>
    <t>現金給与総額</t>
  </si>
  <si>
    <t>従業者数</t>
  </si>
  <si>
    <t>事業所数</t>
  </si>
  <si>
    <t xml:space="preserve"> 注1）</t>
  </si>
  <si>
    <t xml:space="preserve">  製造品</t>
  </si>
  <si>
    <t xml:space="preserve">  原材料</t>
  </si>
  <si>
    <t xml:space="preserve">    その他の製造（昭和59年以前は，プラスチック製品製造業を含む）</t>
  </si>
  <si>
    <t>精密機械器具</t>
  </si>
  <si>
    <t>調査の概要は，I-03 の説明を参照。</t>
    <phoneticPr fontId="2"/>
  </si>
  <si>
    <t xml:space="preserve">       (従業者４人以上の事業所)</t>
  </si>
  <si>
    <t>Ｉ-04 製造業産業中分類別事業所数等－続き－</t>
  </si>
  <si>
    <t>資料：経済産業省経済産業政策局「工業統計表」</t>
    <rPh sb="3" eb="5">
      <t>ケイザイ</t>
    </rPh>
    <rPh sb="5" eb="7">
      <t>サンギョウキョク</t>
    </rPh>
    <rPh sb="8" eb="10">
      <t>ケイザイ</t>
    </rPh>
    <rPh sb="10" eb="15">
      <t>サンギョウキョク</t>
    </rPh>
    <phoneticPr fontId="2"/>
  </si>
  <si>
    <t>輸送用機械器具</t>
  </si>
  <si>
    <t>電気機械器具</t>
  </si>
  <si>
    <t>一般機械器具</t>
  </si>
  <si>
    <t>金属製品</t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</si>
  <si>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2">
      <t>サンギョウ</t>
    </rPh>
    <rPh sb="12" eb="14">
      <t>セイサク</t>
    </rPh>
    <rPh sb="14" eb="15">
      <t>キョク</t>
    </rPh>
    <phoneticPr fontId="2"/>
  </si>
  <si>
    <t>非鉄金属</t>
  </si>
  <si>
    <t>鉄鋼業</t>
  </si>
  <si>
    <t>窯業・土石製品</t>
  </si>
  <si>
    <t>なめし革･同製品･毛皮</t>
  </si>
  <si>
    <t>注3)昭和55年以前は全事業所。</t>
    <phoneticPr fontId="2"/>
  </si>
  <si>
    <t xml:space="preserve">注2)従業者 9人以下は粗付加価値額。 </t>
    <phoneticPr fontId="2"/>
  </si>
  <si>
    <t>　「工業統計表」</t>
    <rPh sb="2" eb="4">
      <t>コウギョウ</t>
    </rPh>
    <rPh sb="4" eb="7">
      <t>トウケイヒョウ</t>
    </rPh>
    <phoneticPr fontId="2"/>
  </si>
  <si>
    <t>注1)昭和60年産業分類改訂で，その他の製造業から分離。</t>
    <phoneticPr fontId="2"/>
  </si>
  <si>
    <t>　　資料：経済産業省経済産業政策局</t>
    <rPh sb="5" eb="7">
      <t>ケイザイ</t>
    </rPh>
    <rPh sb="7" eb="9">
      <t>サンギョウ</t>
    </rPh>
    <rPh sb="10" eb="12">
      <t>ケイザイ</t>
    </rPh>
    <rPh sb="12" eb="17">
      <t>サンギョウキョク</t>
    </rPh>
    <phoneticPr fontId="2"/>
  </si>
  <si>
    <t xml:space="preserve">    55   1980 注3)</t>
  </si>
  <si>
    <r>
      <t>昭和54年 1979 注</t>
    </r>
    <r>
      <rPr>
        <sz val="14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)</t>
    </r>
    <phoneticPr fontId="2"/>
  </si>
  <si>
    <t xml:space="preserve"> 注2）</t>
  </si>
  <si>
    <t>ゴム製品</t>
  </si>
  <si>
    <t>－</t>
    <phoneticPr fontId="2"/>
  </si>
  <si>
    <t>プラスチック製品</t>
  </si>
  <si>
    <t>石油製品・石炭製品</t>
  </si>
  <si>
    <t>化学工業</t>
  </si>
  <si>
    <t>出版･印刷･同関連産業</t>
  </si>
  <si>
    <t>パルプ・紙・紙加工品</t>
  </si>
  <si>
    <t>家具・装備品</t>
  </si>
  <si>
    <t>木材・木製品</t>
  </si>
  <si>
    <t>衣服･その他繊維製品</t>
  </si>
  <si>
    <t>繊維工業</t>
  </si>
  <si>
    <t xml:space="preserve">    11  1999</t>
    <phoneticPr fontId="2"/>
  </si>
  <si>
    <t>－</t>
  </si>
  <si>
    <t>飲料･飼料･たばこ（昭和60年以降は，日本タバコ産業㈱を含む）</t>
  </si>
  <si>
    <r>
      <t xml:space="preserve">    55   1980 </t>
    </r>
    <r>
      <rPr>
        <sz val="14"/>
        <rFont val="ＭＳ 明朝"/>
        <family val="1"/>
        <charset val="128"/>
      </rPr>
      <t xml:space="preserve"> (</t>
    </r>
    <r>
      <rPr>
        <sz val="14"/>
        <rFont val="ＭＳ 明朝"/>
        <family val="1"/>
        <charset val="128"/>
      </rPr>
      <t>注2</t>
    </r>
    <r>
      <rPr>
        <sz val="14"/>
        <rFont val="ＭＳ 明朝"/>
        <family val="1"/>
        <charset val="128"/>
      </rPr>
      <t xml:space="preserve"> </t>
    </r>
    <phoneticPr fontId="2"/>
  </si>
  <si>
    <r>
      <t xml:space="preserve">昭和54年 1979 </t>
    </r>
    <r>
      <rPr>
        <sz val="14"/>
        <rFont val="ＭＳ 明朝"/>
        <family val="1"/>
        <charset val="128"/>
      </rPr>
      <t xml:space="preserve"> (</t>
    </r>
    <r>
      <rPr>
        <sz val="14"/>
        <rFont val="ＭＳ 明朝"/>
        <family val="1"/>
        <charset val="128"/>
      </rPr>
      <t>注2</t>
    </r>
    <phoneticPr fontId="2"/>
  </si>
  <si>
    <t>食料品（昭和59年以前は，飲料･飼料･たばこ製造業を含む）</t>
  </si>
  <si>
    <t>　　　注2) 昭和55年以前は全事業所。</t>
    <phoneticPr fontId="2"/>
  </si>
  <si>
    <t xml:space="preserve">   11   1999</t>
    <phoneticPr fontId="2"/>
  </si>
  <si>
    <t>製造業 総数</t>
  </si>
  <si>
    <t xml:space="preserve">  調査の概要は，I-03 製造業の従業者規模別事業所数等の説明を参照。</t>
    <phoneticPr fontId="2"/>
  </si>
  <si>
    <t>(従業者４人以上の事業所)</t>
  </si>
  <si>
    <t xml:space="preserve">    Ｉ-04 製造業産業中分類別事業所数等</t>
  </si>
  <si>
    <t>　　　　注）従業者 9人以下は粗付加価値額。</t>
    <phoneticPr fontId="2"/>
  </si>
  <si>
    <t xml:space="preserve">    300人以上</t>
  </si>
  <si>
    <t xml:space="preserve">    100～299</t>
  </si>
  <si>
    <t xml:space="preserve">     30～ 99</t>
  </si>
  <si>
    <t xml:space="preserve">     20～ 29</t>
  </si>
  <si>
    <t xml:space="preserve">     10～ 19</t>
  </si>
  <si>
    <t xml:space="preserve">      4～  9人</t>
  </si>
  <si>
    <t>従業者規模</t>
  </si>
  <si>
    <r>
      <t xml:space="preserve">     10 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1998</t>
    </r>
    <phoneticPr fontId="2"/>
  </si>
  <si>
    <t>9    1997</t>
  </si>
  <si>
    <t>8年  1996</t>
    <rPh sb="1" eb="2">
      <t>ネン</t>
    </rPh>
    <phoneticPr fontId="2"/>
  </si>
  <si>
    <t>平成</t>
  </si>
  <si>
    <t>百万円</t>
  </si>
  <si>
    <t xml:space="preserve"> 注）</t>
  </si>
  <si>
    <t>「付加価値額」＝生産額－原材料使用額等－減価償却額－出荷額に含まれる内国消費税額</t>
    <rPh sb="26" eb="29">
      <t>シュッカガク</t>
    </rPh>
    <rPh sb="30" eb="31">
      <t>フク</t>
    </rPh>
    <rPh sb="34" eb="35">
      <t>ウチ</t>
    </rPh>
    <rPh sb="35" eb="36">
      <t>クニ</t>
    </rPh>
    <rPh sb="36" eb="39">
      <t>ショウヒゼイ</t>
    </rPh>
    <rPh sb="39" eb="40">
      <t>ガク</t>
    </rPh>
    <phoneticPr fontId="2"/>
  </si>
  <si>
    <t>びその他の収入額（冷蔵保管料，広告料及び自家発電の余剰電力販売収入額等）の合計。</t>
    <rPh sb="25" eb="27">
      <t>ヨジョウ</t>
    </rPh>
    <rPh sb="27" eb="29">
      <t>デンリョク</t>
    </rPh>
    <rPh sb="29" eb="31">
      <t>ハンバイ</t>
    </rPh>
    <rPh sb="31" eb="33">
      <t>シュウニュウ</t>
    </rPh>
    <rPh sb="33" eb="34">
      <t>ガク</t>
    </rPh>
    <rPh sb="34" eb="35">
      <t>トウ</t>
    </rPh>
    <rPh sb="37" eb="39">
      <t>ゴウケイ</t>
    </rPh>
    <phoneticPr fontId="2"/>
  </si>
  <si>
    <t>は製造品出荷額，加工賃収入額，修理料収入額，製造工程からでたくず，廃物の出荷額及</t>
    <rPh sb="34" eb="35">
      <t>ブツ</t>
    </rPh>
    <rPh sb="36" eb="39">
      <t>シュッカガク</t>
    </rPh>
    <rPh sb="39" eb="40">
      <t>オヨ</t>
    </rPh>
    <phoneticPr fontId="2"/>
  </si>
  <si>
    <t>額，燃料使用額，電力使用額（除く自家発電）及び委託生産費の合計。「製造品出荷額等」</t>
    <rPh sb="36" eb="39">
      <t>シュッカガク</t>
    </rPh>
    <rPh sb="39" eb="40">
      <t>トウ</t>
    </rPh>
    <phoneticPr fontId="2"/>
  </si>
  <si>
    <t>金，解雇予告手当等，支給された全ての給与額の合計。「原材料使用額等」は原材料使用</t>
    <rPh sb="37" eb="38">
      <t>リョウ</t>
    </rPh>
    <rPh sb="38" eb="40">
      <t>シヨウ</t>
    </rPh>
    <phoneticPr fontId="2"/>
  </si>
  <si>
    <t>事業主及び無給家族従業者の合計。「現金給与総額」は基本給，諸手当，期末賞与，退職</t>
    <rPh sb="38" eb="40">
      <t>タイショク</t>
    </rPh>
    <phoneticPr fontId="2"/>
  </si>
  <si>
    <t xml:space="preserve">  事業所数及び従業者数は12月31日現在，その他は年間。「従業者」は常用雇用者，個人</t>
    <rPh sb="41" eb="43">
      <t>コジン</t>
    </rPh>
    <phoneticPr fontId="2"/>
  </si>
  <si>
    <t xml:space="preserve">          (従業者４人以上の事業所)</t>
  </si>
  <si>
    <t xml:space="preserve">   Ｉ-03 製造業の従業者規模別事業所数等</t>
  </si>
  <si>
    <t>　　　注）従業者10人以上の事業所。</t>
    <phoneticPr fontId="2"/>
  </si>
  <si>
    <t>資料:経済産業省産業政策局「工業統計表」</t>
    <rPh sb="3" eb="5">
      <t>ケイザイ</t>
    </rPh>
    <rPh sb="5" eb="7">
      <t>サンギョウ</t>
    </rPh>
    <rPh sb="8" eb="10">
      <t>サンギョウ</t>
    </rPh>
    <rPh sb="10" eb="12">
      <t>セイサク</t>
    </rPh>
    <rPh sb="12" eb="13">
      <t>キョク</t>
    </rPh>
    <phoneticPr fontId="2"/>
  </si>
  <si>
    <t>－</t>
    <phoneticPr fontId="2"/>
  </si>
  <si>
    <t xml:space="preserve"> 北 山 村</t>
  </si>
  <si>
    <t xml:space="preserve"> 本 宮 町</t>
  </si>
  <si>
    <t>Ｘ</t>
    <phoneticPr fontId="2"/>
  </si>
  <si>
    <t xml:space="preserve"> 熊野川町</t>
  </si>
  <si>
    <t xml:space="preserve"> 古座川町</t>
  </si>
  <si>
    <t xml:space="preserve"> 古 座 町</t>
  </si>
  <si>
    <t xml:space="preserve"> 太 地 町</t>
  </si>
  <si>
    <t xml:space="preserve"> 那智勝浦町</t>
  </si>
  <si>
    <t xml:space="preserve"> 串 本 町</t>
  </si>
  <si>
    <t xml:space="preserve"> すさみ町</t>
  </si>
  <si>
    <t xml:space="preserve"> 日置川町</t>
  </si>
  <si>
    <t xml:space="preserve"> 上富田町</t>
  </si>
  <si>
    <t xml:space="preserve"> 大 塔 村</t>
  </si>
  <si>
    <t xml:space="preserve"> 中辺路町</t>
  </si>
  <si>
    <t xml:space="preserve"> 白 浜 町</t>
  </si>
  <si>
    <t xml:space="preserve"> 印 南 町</t>
  </si>
  <si>
    <t xml:space="preserve"> 南 部 町</t>
  </si>
  <si>
    <t xml:space="preserve"> 南部川村</t>
  </si>
  <si>
    <t xml:space="preserve"> 龍 神 村</t>
  </si>
  <si>
    <t xml:space="preserve"> 美 山 村</t>
  </si>
  <si>
    <t xml:space="preserve"> 中 津 村</t>
  </si>
  <si>
    <t xml:space="preserve"> 川 辺 町</t>
  </si>
  <si>
    <t xml:space="preserve"> 由 良 町</t>
  </si>
  <si>
    <t xml:space="preserve"> 日 高 町</t>
  </si>
  <si>
    <t xml:space="preserve"> 美 浜 町</t>
  </si>
  <si>
    <t xml:space="preserve"> 清 水 町</t>
  </si>
  <si>
    <t xml:space="preserve"> 金 屋 町</t>
  </si>
  <si>
    <t xml:space="preserve"> 吉 備 町</t>
  </si>
  <si>
    <t xml:space="preserve"> 広 川 町</t>
  </si>
  <si>
    <t xml:space="preserve"> 湯 浅 町</t>
  </si>
  <si>
    <t xml:space="preserve"> 花 園 村</t>
  </si>
  <si>
    <t xml:space="preserve"> 高 野 町</t>
  </si>
  <si>
    <t xml:space="preserve"> 九度山町</t>
  </si>
  <si>
    <t xml:space="preserve"> 高野口町</t>
  </si>
  <si>
    <t xml:space="preserve"> かつらぎ町</t>
  </si>
  <si>
    <t xml:space="preserve"> 岩 出 町</t>
  </si>
  <si>
    <t xml:space="preserve"> 貴志川町</t>
  </si>
  <si>
    <t xml:space="preserve"> 桃 山 町</t>
  </si>
  <si>
    <t xml:space="preserve"> 那 賀 町</t>
  </si>
  <si>
    <t xml:space="preserve"> 粉 河 町</t>
  </si>
  <si>
    <t xml:space="preserve"> 打 田 町</t>
  </si>
  <si>
    <t xml:space="preserve"> 美 里 町</t>
  </si>
  <si>
    <t xml:space="preserve"> 野 上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</si>
  <si>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</si>
  <si>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</si>
  <si>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</si>
  <si>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</si>
  <si>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</si>
  <si>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橋 本 市</t>
  </si>
  <si>
    <t xml:space="preserve"> 海 南 市</t>
  </si>
  <si>
    <t xml:space="preserve"> 和歌山市</t>
  </si>
  <si>
    <t xml:space="preserve"> 平成11年 1999</t>
    <phoneticPr fontId="2"/>
  </si>
  <si>
    <t xml:space="preserve">  年末現在高</t>
  </si>
  <si>
    <t xml:space="preserve">   出荷額等</t>
  </si>
  <si>
    <t>有形固定資産</t>
  </si>
  <si>
    <t>粗付加価値額</t>
  </si>
  <si>
    <t>製造品</t>
  </si>
  <si>
    <t>原材料</t>
  </si>
  <si>
    <t xml:space="preserve"> 従業者数</t>
  </si>
  <si>
    <t>調査の概要は,Ｉ-03製造業の従業者規模別事業所数等の説明を参照。</t>
  </si>
  <si>
    <t>（従業者４人以上の事業所）</t>
  </si>
  <si>
    <t xml:space="preserve">      Ｉ-05 市町村別製造業事業所数等</t>
  </si>
  <si>
    <t>資料：薬務課「薬務事業概要」</t>
  </si>
  <si>
    <t>注２）その他の治療を主目的としない医薬品</t>
  </si>
  <si>
    <t>注１）昭和60年は、「その他の個々の器官系用薬」の数値である。</t>
    <phoneticPr fontId="2"/>
  </si>
  <si>
    <t>－</t>
    <phoneticPr fontId="2"/>
  </si>
  <si>
    <t>･･･</t>
  </si>
  <si>
    <t>ビタミン含有保健剤</t>
    <rPh sb="4" eb="6">
      <t>ガンユウ</t>
    </rPh>
    <rPh sb="6" eb="8">
      <t>ホケン</t>
    </rPh>
    <rPh sb="8" eb="9">
      <t>ザイ</t>
    </rPh>
    <phoneticPr fontId="2"/>
  </si>
  <si>
    <t>薬用歯みがき剤</t>
  </si>
  <si>
    <t>殺ソ剤</t>
  </si>
  <si>
    <t xml:space="preserve">    うち電気蚊取</t>
  </si>
  <si>
    <t xml:space="preserve">    うち蚊取線香</t>
  </si>
  <si>
    <t>殺虫剤</t>
  </si>
  <si>
    <t>防虫剤</t>
  </si>
  <si>
    <t>腋臭防止剤</t>
  </si>
  <si>
    <t>てんか粉類</t>
  </si>
  <si>
    <t>浴用剤</t>
  </si>
  <si>
    <t>毛髪用剤</t>
  </si>
  <si>
    <t>薬用化粧品</t>
  </si>
  <si>
    <t>　</t>
  </si>
  <si>
    <t>医薬部外品</t>
  </si>
  <si>
    <t>その他 （注2</t>
    <phoneticPr fontId="2"/>
  </si>
  <si>
    <t>公衆衛生用薬</t>
  </si>
  <si>
    <t>調剤用薬</t>
  </si>
  <si>
    <t>寄生動物用薬</t>
  </si>
  <si>
    <t>生物学的製剤</t>
  </si>
  <si>
    <t>漢方製剤</t>
  </si>
  <si>
    <t>腫瘍用薬</t>
  </si>
  <si>
    <t>その他の代謝性医薬品</t>
  </si>
  <si>
    <t>人工唾潅流用薬 （注1</t>
    <phoneticPr fontId="2"/>
  </si>
  <si>
    <t>血液及び体液用薬</t>
  </si>
  <si>
    <t>滋養強壮薬</t>
  </si>
  <si>
    <t>ビタミン剤</t>
  </si>
  <si>
    <t>外皮用薬</t>
  </si>
  <si>
    <t>泌尿生殖器官･肛門用薬</t>
  </si>
  <si>
    <t>ホルモン剤</t>
  </si>
  <si>
    <t>消化器官用薬</t>
  </si>
  <si>
    <t>呼吸器官用薬</t>
  </si>
  <si>
    <t>循環器官用薬</t>
  </si>
  <si>
    <t>アレルギー用薬</t>
  </si>
  <si>
    <t>感覚器官用薬</t>
  </si>
  <si>
    <t>末梢神経系用薬</t>
  </si>
  <si>
    <t>中枢神経系用薬</t>
  </si>
  <si>
    <t>医薬品</t>
  </si>
  <si>
    <t>　　総   数</t>
  </si>
  <si>
    <r>
      <t xml:space="preserve"> 平成1</t>
    </r>
    <r>
      <rPr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年</t>
    </r>
    <phoneticPr fontId="2"/>
  </si>
  <si>
    <t xml:space="preserve"> 平成11年</t>
    <phoneticPr fontId="2"/>
  </si>
  <si>
    <t xml:space="preserve"> 平成10年</t>
  </si>
  <si>
    <t xml:space="preserve"> 平成 9年</t>
  </si>
  <si>
    <t xml:space="preserve"> 平成 7年</t>
  </si>
  <si>
    <t xml:space="preserve"> 平成 2年</t>
  </si>
  <si>
    <t xml:space="preserve"> 昭和60年</t>
  </si>
  <si>
    <r>
      <t>2</t>
    </r>
    <r>
      <rPr>
        <sz val="14"/>
        <rFont val="ＭＳ 明朝"/>
        <family val="1"/>
        <charset val="128"/>
      </rPr>
      <t>000</t>
    </r>
    <phoneticPr fontId="2"/>
  </si>
  <si>
    <t xml:space="preserve"> 1998</t>
  </si>
  <si>
    <t xml:space="preserve"> 1997</t>
  </si>
  <si>
    <t xml:space="preserve"> 1995</t>
  </si>
  <si>
    <t xml:space="preserve"> 1990</t>
  </si>
  <si>
    <t xml:space="preserve"> 1985</t>
  </si>
  <si>
    <t xml:space="preserve">         単位：百万円</t>
    <phoneticPr fontId="2"/>
  </si>
  <si>
    <t xml:space="preserve"> </t>
  </si>
  <si>
    <t>Ｉ-06 主要薬効分類別医薬品・医薬部外品の生産額</t>
  </si>
  <si>
    <t>注)その他とは，スピリッツ類,リキュ－ル類,雑酒</t>
  </si>
  <si>
    <t>資料：国税庁「国税庁統計年報書」</t>
  </si>
  <si>
    <t>　　11   1999</t>
    <phoneticPr fontId="2"/>
  </si>
  <si>
    <t>　　10 　 1998</t>
    <phoneticPr fontId="2"/>
  </si>
  <si>
    <t>　　 9 　 1997</t>
  </si>
  <si>
    <t>　　 8 　 1996</t>
  </si>
  <si>
    <t>　　 7 　 1995</t>
  </si>
  <si>
    <t>　　 6 　 1994</t>
  </si>
  <si>
    <t>　　 5 　 1993</t>
  </si>
  <si>
    <t>　　 4　  1992</t>
  </si>
  <si>
    <t>　　 3　  1991</t>
  </si>
  <si>
    <t>　　 2    1990</t>
  </si>
  <si>
    <t>平成元　  1989</t>
  </si>
  <si>
    <t>　　63    1988</t>
  </si>
  <si>
    <t>　　62  　1987</t>
  </si>
  <si>
    <t>　　61    1986</t>
  </si>
  <si>
    <t>　　60　  1985</t>
  </si>
  <si>
    <t>　　55　  1980</t>
  </si>
  <si>
    <t>昭和50年度1975</t>
  </si>
  <si>
    <t xml:space="preserve"> ｳｲｽｷ-類</t>
  </si>
  <si>
    <t xml:space="preserve"> 果実酒類</t>
  </si>
  <si>
    <t>ビ－ル</t>
  </si>
  <si>
    <t>みりん</t>
  </si>
  <si>
    <t xml:space="preserve">  ちゅう</t>
  </si>
  <si>
    <t xml:space="preserve"> 合成清酒</t>
  </si>
  <si>
    <t xml:space="preserve">  清  酒</t>
  </si>
  <si>
    <t xml:space="preserve"> 注)</t>
  </si>
  <si>
    <t xml:space="preserve">  しょう</t>
  </si>
  <si>
    <t>　 総数</t>
  </si>
  <si>
    <t xml:space="preserve"> 販売（消費）数量</t>
  </si>
  <si>
    <t>X</t>
    <phoneticPr fontId="2"/>
  </si>
  <si>
    <t>－</t>
    <phoneticPr fontId="2"/>
  </si>
  <si>
    <t>　　10 　 1998</t>
  </si>
  <si>
    <t xml:space="preserve">   総数</t>
  </si>
  <si>
    <t xml:space="preserve"> 製成数量</t>
  </si>
  <si>
    <t xml:space="preserve">       単位：kl</t>
  </si>
  <si>
    <t>Ｉ-07 酒類製成及び消費量</t>
  </si>
  <si>
    <t>資料：県統計課「和歌山県鉱工業生産指数」</t>
  </si>
  <si>
    <t>　12</t>
    <phoneticPr fontId="2"/>
  </si>
  <si>
    <t>　11</t>
    <phoneticPr fontId="2"/>
  </si>
  <si>
    <t xml:space="preserve">  10</t>
    <phoneticPr fontId="2"/>
  </si>
  <si>
    <t>　 9</t>
    <phoneticPr fontId="2"/>
  </si>
  <si>
    <r>
      <t xml:space="preserve"> 　</t>
    </r>
    <r>
      <rPr>
        <sz val="14"/>
        <rFont val="ＭＳ 明朝"/>
        <family val="1"/>
        <charset val="128"/>
      </rPr>
      <t>8</t>
    </r>
    <phoneticPr fontId="2"/>
  </si>
  <si>
    <r>
      <t xml:space="preserve"> </t>
    </r>
    <r>
      <rPr>
        <sz val="14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7</t>
    </r>
    <phoneticPr fontId="2"/>
  </si>
  <si>
    <t>　 6</t>
    <phoneticPr fontId="2"/>
  </si>
  <si>
    <t xml:space="preserve"> 　5</t>
    <phoneticPr fontId="2"/>
  </si>
  <si>
    <t>　 4</t>
    <phoneticPr fontId="2"/>
  </si>
  <si>
    <r>
      <t xml:space="preserve"> </t>
    </r>
    <r>
      <rPr>
        <sz val="14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3</t>
    </r>
    <phoneticPr fontId="2"/>
  </si>
  <si>
    <t>　 2</t>
    <phoneticPr fontId="2"/>
  </si>
  <si>
    <t xml:space="preserve">    2000年 1月</t>
    <phoneticPr fontId="2"/>
  </si>
  <si>
    <t xml:space="preserve">    ［季節調整済指数］</t>
  </si>
  <si>
    <t>［原指数］</t>
  </si>
  <si>
    <t xml:space="preserve">   11    1999</t>
    <phoneticPr fontId="2"/>
  </si>
  <si>
    <t xml:space="preserve">    10    1998</t>
  </si>
  <si>
    <t xml:space="preserve">     9    1997</t>
  </si>
  <si>
    <t xml:space="preserve">     8    1996</t>
  </si>
  <si>
    <t xml:space="preserve">     7    1995</t>
  </si>
  <si>
    <t xml:space="preserve">     6    1994</t>
  </si>
  <si>
    <t>平成 5年度1993</t>
    <phoneticPr fontId="2"/>
  </si>
  <si>
    <t>［年度］</t>
  </si>
  <si>
    <t xml:space="preserve">    12   2000</t>
    <phoneticPr fontId="2"/>
  </si>
  <si>
    <t xml:space="preserve">     11   1999</t>
  </si>
  <si>
    <t xml:space="preserve">     10   1998</t>
  </si>
  <si>
    <t xml:space="preserve">      9   1997</t>
  </si>
  <si>
    <t xml:space="preserve">      8   1996</t>
  </si>
  <si>
    <t xml:space="preserve">      7   1995</t>
  </si>
  <si>
    <t xml:space="preserve">      6   1994</t>
  </si>
  <si>
    <t xml:space="preserve"> 平成 5年 1993</t>
    <phoneticPr fontId="2"/>
  </si>
  <si>
    <t>［暦年］</t>
  </si>
  <si>
    <t>　 ｳ ｴ ｲ ﾄ</t>
  </si>
  <si>
    <t>　品 目 数</t>
  </si>
  <si>
    <t xml:space="preserve"> 工業</t>
  </si>
  <si>
    <t xml:space="preserve"> ばこ工業</t>
  </si>
  <si>
    <t xml:space="preserve"> 繊維工業</t>
  </si>
  <si>
    <t xml:space="preserve"> 紙加工品</t>
  </si>
  <si>
    <t xml:space="preserve"> 製品工業</t>
  </si>
  <si>
    <t xml:space="preserve"> 化学工業</t>
  </si>
  <si>
    <t xml:space="preserve"> 機械工業</t>
  </si>
  <si>
    <t xml:space="preserve"> その他</t>
  </si>
  <si>
    <t>食料品･た</t>
  </si>
  <si>
    <t>ﾊﾟﾙﾌﾟ･紙･</t>
  </si>
  <si>
    <t>ﾌﾟﾗｽﾁｯｸ</t>
  </si>
  <si>
    <t>石油･石炭</t>
  </si>
  <si>
    <t xml:space="preserve"> 窯業･土石</t>
  </si>
  <si>
    <t>《参考》</t>
  </si>
  <si>
    <t>製造工業－続き－</t>
  </si>
  <si>
    <t xml:space="preserve">          平成 7年(1995)=100</t>
    <phoneticPr fontId="2"/>
  </si>
  <si>
    <t>Ｉ-08 鉱工業生産指数－続き－</t>
  </si>
  <si>
    <t>－</t>
    <phoneticPr fontId="2"/>
  </si>
  <si>
    <t xml:space="preserve">    11   1999</t>
    <phoneticPr fontId="2"/>
  </si>
  <si>
    <t xml:space="preserve"> 械工業</t>
  </si>
  <si>
    <t xml:space="preserve"> 品工業</t>
  </si>
  <si>
    <t xml:space="preserve"> 属工業</t>
  </si>
  <si>
    <t xml:space="preserve"> 鉄鋼業</t>
  </si>
  <si>
    <t xml:space="preserve"> 精密機</t>
  </si>
  <si>
    <t xml:space="preserve"> 電気機</t>
  </si>
  <si>
    <t xml:space="preserve"> 一般機</t>
  </si>
  <si>
    <t xml:space="preserve"> 金属製</t>
  </si>
  <si>
    <t xml:space="preserve"> 非鉄金</t>
  </si>
  <si>
    <t xml:space="preserve"> 製造工業</t>
  </si>
  <si>
    <t xml:space="preserve"> 公益事業</t>
  </si>
  <si>
    <t xml:space="preserve"> 産業総合 </t>
  </si>
  <si>
    <t xml:space="preserve">        　平成 7年(1995)=100</t>
    <phoneticPr fontId="2"/>
  </si>
  <si>
    <t>Ｉ-08 鉱工業生産指数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</si>
</sst>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76" fontId="4" fillId="0" borderId="0"/>
  </cellStyleXfs>
  <cellXfs count="87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1" xfId="0" applyFont="1" applyBorder="1" applyProtection="1">
      <protection locked="0"/>
    </xf>
    <xf numFmtId="37" fontId="3" fillId="0" borderId="0" xfId="0" applyFont="1" applyAlignment="1" applyProtection="1">
      <alignment horizontal="left"/>
    </xf>
    <xf numFmtId="37" fontId="4" fillId="0" borderId="0" xfId="0" applyFont="1" applyAlignment="1" applyProtection="1">
      <alignment horizontal="left"/>
    </xf>
    <xf numFmtId="37" fontId="4" fillId="0" borderId="1" xfId="0" applyFont="1" applyBorder="1" applyProtection="1"/>
    <xf numFmtId="37" fontId="4" fillId="0" borderId="0" xfId="0" applyFont="1" applyProtection="1"/>
    <xf numFmtId="37" fontId="4" fillId="0" borderId="0" xfId="0" applyFont="1"/>
    <xf numFmtId="37" fontId="4" fillId="0" borderId="2" xfId="0" applyFont="1" applyBorder="1"/>
    <xf numFmtId="37" fontId="4" fillId="0" borderId="2" xfId="0" applyFont="1" applyBorder="1" applyAlignment="1" applyProtection="1">
      <alignment horizontal="left"/>
    </xf>
    <xf numFmtId="37" fontId="4" fillId="0" borderId="0" xfId="0" applyFont="1" applyBorder="1"/>
    <xf numFmtId="37" fontId="4" fillId="0" borderId="1" xfId="0" applyFont="1" applyBorder="1" applyAlignment="1" applyProtection="1">
      <alignment horizontal="left"/>
    </xf>
    <xf numFmtId="37" fontId="4" fillId="0" borderId="3" xfId="0" applyFont="1" applyBorder="1"/>
    <xf numFmtId="37" fontId="4" fillId="0" borderId="1" xfId="0" applyFont="1" applyBorder="1"/>
    <xf numFmtId="37" fontId="4" fillId="0" borderId="4" xfId="0" applyFont="1" applyBorder="1" applyAlignment="1" applyProtection="1">
      <alignment horizontal="center"/>
    </xf>
    <xf numFmtId="37" fontId="4" fillId="0" borderId="0" xfId="0" applyFont="1" applyProtection="1">
      <protection locked="0"/>
    </xf>
    <xf numFmtId="37" fontId="4" fillId="0" borderId="1" xfId="0" applyFont="1" applyBorder="1" applyProtection="1">
      <protection locked="0"/>
    </xf>
    <xf numFmtId="37" fontId="4" fillId="0" borderId="1" xfId="0" quotePrefix="1" applyFont="1" applyBorder="1" applyAlignment="1" applyProtection="1">
      <alignment horizontal="left"/>
      <protection locked="0"/>
    </xf>
    <xf numFmtId="37" fontId="4" fillId="0" borderId="5" xfId="0" applyFont="1" applyBorder="1"/>
    <xf numFmtId="37" fontId="1" fillId="0" borderId="0" xfId="0" applyFont="1" applyProtection="1">
      <protection locked="0"/>
    </xf>
    <xf numFmtId="37" fontId="4" fillId="0" borderId="0" xfId="0" applyFont="1" applyAlignment="1" applyProtection="1">
      <alignment horizontal="right"/>
      <protection locked="0"/>
    </xf>
    <xf numFmtId="37" fontId="4" fillId="0" borderId="0" xfId="0" applyFont="1" applyAlignment="1" applyProtection="1">
      <alignment horizontal="right"/>
    </xf>
    <xf numFmtId="37" fontId="4" fillId="0" borderId="4" xfId="0" applyFont="1" applyBorder="1" applyAlignment="1" applyProtection="1">
      <alignment horizontal="left"/>
    </xf>
    <xf numFmtId="37" fontId="4" fillId="0" borderId="3" xfId="0" applyFont="1" applyBorder="1" applyAlignment="1" applyProtection="1">
      <alignment horizontal="left"/>
    </xf>
    <xf numFmtId="37" fontId="4" fillId="0" borderId="4" xfId="0" applyFont="1" applyBorder="1"/>
    <xf numFmtId="37" fontId="4" fillId="0" borderId="1" xfId="0" applyFont="1" applyBorder="1" applyAlignment="1" applyProtection="1">
      <alignment horizontal="right"/>
      <protection locked="0"/>
    </xf>
    <xf numFmtId="37" fontId="4" fillId="0" borderId="0" xfId="0" applyFont="1" applyBorder="1" applyAlignment="1" applyProtection="1">
      <alignment horizontal="left"/>
    </xf>
    <xf numFmtId="37" fontId="4" fillId="0" borderId="2" xfId="0" applyNumberFormat="1" applyFont="1" applyBorder="1" applyProtection="1"/>
    <xf numFmtId="39" fontId="4" fillId="0" borderId="2" xfId="0" applyNumberFormat="1" applyFont="1" applyBorder="1" applyProtection="1"/>
    <xf numFmtId="39" fontId="4" fillId="0" borderId="5" xfId="0" applyNumberFormat="1" applyFont="1" applyBorder="1" applyProtection="1"/>
    <xf numFmtId="37" fontId="1" fillId="0" borderId="0" xfId="0" applyNumberFormat="1" applyFont="1" applyProtection="1"/>
    <xf numFmtId="37" fontId="1" fillId="0" borderId="1" xfId="0" applyNumberFormat="1" applyFont="1" applyBorder="1" applyProtection="1"/>
    <xf numFmtId="37" fontId="4" fillId="0" borderId="0" xfId="0" applyNumberFormat="1" applyFont="1" applyProtection="1"/>
    <xf numFmtId="37" fontId="4" fillId="0" borderId="1" xfId="0" applyNumberFormat="1" applyFont="1" applyBorder="1" applyProtection="1"/>
    <xf numFmtId="37" fontId="1" fillId="0" borderId="1" xfId="0" applyFont="1" applyBorder="1" applyProtection="1"/>
    <xf numFmtId="37" fontId="1" fillId="0" borderId="0" xfId="0" quotePrefix="1" applyFont="1" applyAlignment="1" applyProtection="1">
      <alignment horizontal="left"/>
    </xf>
    <xf numFmtId="37" fontId="4" fillId="0" borderId="0" xfId="0" applyFont="1" applyAlignment="1" applyProtection="1"/>
    <xf numFmtId="37" fontId="4" fillId="0" borderId="2" xfId="0" applyNumberFormat="1" applyFont="1" applyBorder="1" applyProtection="1">
      <protection locked="0"/>
    </xf>
    <xf numFmtId="37" fontId="1" fillId="0" borderId="2" xfId="0" applyFont="1" applyBorder="1" applyProtection="1">
      <protection locked="0"/>
    </xf>
    <xf numFmtId="37" fontId="4" fillId="0" borderId="5" xfId="0" applyFont="1" applyBorder="1" applyProtection="1">
      <protection locked="0"/>
    </xf>
    <xf numFmtId="37" fontId="1" fillId="0" borderId="2" xfId="0" applyFont="1" applyBorder="1" applyProtection="1"/>
    <xf numFmtId="37" fontId="4" fillId="0" borderId="1" xfId="0" applyFont="1" applyBorder="1" applyAlignment="1" applyProtection="1">
      <alignment horizontal="center"/>
    </xf>
    <xf numFmtId="37" fontId="4" fillId="0" borderId="2" xfId="0" applyFont="1" applyBorder="1" applyProtection="1">
      <protection locked="0"/>
    </xf>
    <xf numFmtId="37" fontId="4" fillId="0" borderId="0" xfId="0" applyFont="1" applyBorder="1" applyProtection="1"/>
    <xf numFmtId="37" fontId="4" fillId="0" borderId="0" xfId="0" applyFont="1" applyBorder="1" applyProtection="1">
      <protection locked="0"/>
    </xf>
    <xf numFmtId="37" fontId="4" fillId="0" borderId="0" xfId="0" applyFont="1" applyBorder="1" applyAlignment="1" applyProtection="1">
      <alignment horizontal="right"/>
    </xf>
    <xf numFmtId="37" fontId="1" fillId="0" borderId="0" xfId="0" applyFont="1" applyBorder="1" applyProtection="1"/>
    <xf numFmtId="37" fontId="4" fillId="0" borderId="6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37" fontId="4" fillId="0" borderId="4" xfId="0" applyFont="1" applyBorder="1" applyAlignment="1" applyProtection="1">
      <alignment horizontal="right"/>
    </xf>
    <xf numFmtId="37" fontId="4" fillId="0" borderId="4" xfId="0" applyFont="1" applyBorder="1" applyAlignment="1" applyProtection="1"/>
    <xf numFmtId="37" fontId="1" fillId="0" borderId="0" xfId="0" applyFont="1" applyAlignment="1" applyProtection="1">
      <alignment horizontal="right"/>
      <protection locked="0"/>
    </xf>
    <xf numFmtId="176" fontId="4" fillId="0" borderId="0" xfId="1" applyFont="1"/>
    <xf numFmtId="176" fontId="1" fillId="0" borderId="0" xfId="1" applyFont="1" applyProtection="1"/>
    <xf numFmtId="176" fontId="4" fillId="0" borderId="0" xfId="1" applyFont="1" applyAlignment="1" applyProtection="1">
      <alignment horizontal="left"/>
    </xf>
    <xf numFmtId="176" fontId="4" fillId="0" borderId="2" xfId="1" applyFont="1" applyBorder="1" applyProtection="1">
      <protection locked="0"/>
    </xf>
    <xf numFmtId="176" fontId="4" fillId="0" borderId="5" xfId="1" applyFont="1" applyBorder="1" applyProtection="1">
      <protection locked="0"/>
    </xf>
    <xf numFmtId="176" fontId="1" fillId="0" borderId="2" xfId="1" applyFont="1" applyBorder="1" applyProtection="1"/>
    <xf numFmtId="176" fontId="4" fillId="0" borderId="0" xfId="1" applyFont="1" applyProtection="1">
      <protection locked="0"/>
    </xf>
    <xf numFmtId="176" fontId="4" fillId="0" borderId="1" xfId="1" applyFont="1" applyBorder="1" applyProtection="1">
      <protection locked="0"/>
    </xf>
    <xf numFmtId="49" fontId="4" fillId="0" borderId="0" xfId="1" applyNumberFormat="1" applyFont="1" applyAlignment="1" applyProtection="1">
      <alignment horizontal="left"/>
    </xf>
    <xf numFmtId="176" fontId="4" fillId="0" borderId="1" xfId="1" applyFont="1" applyBorder="1"/>
    <xf numFmtId="176" fontId="1" fillId="0" borderId="0" xfId="1" applyFont="1" applyAlignment="1" applyProtection="1">
      <alignment horizontal="left"/>
    </xf>
    <xf numFmtId="176" fontId="1" fillId="0" borderId="0" xfId="1" applyFont="1" applyProtection="1">
      <protection locked="0"/>
    </xf>
    <xf numFmtId="176" fontId="1" fillId="0" borderId="1" xfId="1" applyFont="1" applyBorder="1" applyProtection="1">
      <protection locked="0"/>
    </xf>
    <xf numFmtId="176" fontId="4" fillId="0" borderId="3" xfId="1" applyFont="1" applyBorder="1" applyProtection="1"/>
    <xf numFmtId="177" fontId="4" fillId="0" borderId="3" xfId="1" applyNumberFormat="1" applyFont="1" applyBorder="1" applyProtection="1">
      <protection locked="0"/>
    </xf>
    <xf numFmtId="177" fontId="4" fillId="0" borderId="4" xfId="1" applyNumberFormat="1" applyFont="1" applyBorder="1" applyProtection="1">
      <protection locked="0"/>
    </xf>
    <xf numFmtId="176" fontId="4" fillId="0" borderId="3" xfId="1" applyFont="1" applyBorder="1"/>
    <xf numFmtId="176" fontId="4" fillId="0" borderId="3" xfId="1" applyFont="1" applyBorder="1" applyAlignment="1" applyProtection="1">
      <alignment horizontal="left"/>
    </xf>
    <xf numFmtId="37" fontId="4" fillId="0" borderId="3" xfId="1" applyNumberFormat="1" applyFont="1" applyBorder="1" applyProtection="1"/>
    <xf numFmtId="37" fontId="4" fillId="0" borderId="3" xfId="1" applyNumberFormat="1" applyFont="1" applyBorder="1" applyProtection="1">
      <protection locked="0"/>
    </xf>
    <xf numFmtId="37" fontId="4" fillId="0" borderId="4" xfId="1" applyNumberFormat="1" applyFont="1" applyBorder="1" applyProtection="1">
      <protection locked="0"/>
    </xf>
    <xf numFmtId="176" fontId="4" fillId="0" borderId="0" xfId="1" applyFont="1" applyBorder="1"/>
    <xf numFmtId="176" fontId="4" fillId="0" borderId="4" xfId="1" applyFont="1" applyBorder="1"/>
    <xf numFmtId="176" fontId="4" fillId="0" borderId="4" xfId="1" applyFont="1" applyBorder="1" applyAlignment="1" applyProtection="1">
      <alignment horizontal="left"/>
    </xf>
    <xf numFmtId="176" fontId="4" fillId="0" borderId="1" xfId="1" applyFont="1" applyBorder="1" applyAlignment="1" applyProtection="1">
      <alignment horizontal="center"/>
    </xf>
    <xf numFmtId="176" fontId="4" fillId="0" borderId="1" xfId="1" applyFont="1" applyBorder="1" applyAlignment="1" applyProtection="1">
      <alignment horizontal="left"/>
    </xf>
    <xf numFmtId="176" fontId="4" fillId="0" borderId="2" xfId="1" applyFont="1" applyBorder="1"/>
    <xf numFmtId="176" fontId="4" fillId="0" borderId="2" xfId="1" applyFont="1" applyBorder="1" applyAlignment="1" applyProtection="1">
      <alignment horizontal="left"/>
    </xf>
    <xf numFmtId="176" fontId="4" fillId="0" borderId="0" xfId="1" applyFont="1" applyAlignment="1" applyProtection="1">
      <alignment horizontal="right"/>
      <protection locked="0"/>
    </xf>
    <xf numFmtId="176" fontId="1" fillId="0" borderId="0" xfId="1" applyFont="1" applyAlignment="1" applyProtection="1">
      <alignment horizontal="right"/>
      <protection locked="0"/>
    </xf>
    <xf numFmtId="176" fontId="4" fillId="0" borderId="3" xfId="1" applyFont="1" applyBorder="1" applyProtection="1">
      <protection locked="0"/>
    </xf>
    <xf numFmtId="176" fontId="4" fillId="0" borderId="4" xfId="1" applyFont="1" applyBorder="1" applyProtection="1"/>
    <xf numFmtId="37" fontId="4" fillId="0" borderId="4" xfId="1" applyNumberFormat="1" applyFont="1" applyBorder="1" applyProtection="1"/>
    <xf numFmtId="176" fontId="4" fillId="0" borderId="2" xfId="1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 codeName="Sheet1"/>
  <dimension ref="A1:S73"/>
  <sheetViews>
    <sheetView showGridLines="0" tabSelected="1" topLeftCell="A37" zoomScale="75" workbookViewId="0">
      <selection activeCell="B50" sqref="B50"/>
    </sheetView>
  </sheetViews>
  <sheetFormatPr defaultColWidth="9.69921875" defaultRowHeight="17.25" x14ac:dyDescent="0.2"/>
  <cols>
    <col min="1" max="1" width="10.69921875" style="8" customWidth="1"/>
    <col min="2" max="2" width="14.69921875" style="8" customWidth="1"/>
    <col min="3" max="3" width="10.69921875" style="8" customWidth="1"/>
    <col min="4" max="5" width="9.69921875" style="8"/>
    <col min="6" max="6" width="10.69921875" style="8" customWidth="1"/>
    <col min="7" max="7" width="9.69921875" style="8"/>
    <col min="8" max="8" width="10.69921875" style="8" customWidth="1"/>
    <col min="9" max="9" width="9.69921875" style="8"/>
    <col min="10" max="10" width="10.69921875" style="8" customWidth="1"/>
    <col min="11" max="16384" width="9.69921875" style="8"/>
  </cols>
  <sheetData>
    <row r="1" spans="1:19" x14ac:dyDescent="0.2">
      <c r="A1" s="5"/>
    </row>
    <row r="6" spans="1:19" ht="28.5" x14ac:dyDescent="0.3">
      <c r="E6" s="4" t="s">
        <v>0</v>
      </c>
    </row>
    <row r="7" spans="1:19" x14ac:dyDescent="0.2">
      <c r="E7" s="1" t="s">
        <v>1</v>
      </c>
    </row>
    <row r="8" spans="1:19" x14ac:dyDescent="0.2">
      <c r="C8" s="5" t="s">
        <v>2</v>
      </c>
    </row>
    <row r="9" spans="1:19" x14ac:dyDescent="0.2">
      <c r="C9" s="5" t="s">
        <v>3</v>
      </c>
    </row>
    <row r="10" spans="1:19" ht="18" thickBot="1" x14ac:dyDescent="0.25">
      <c r="B10" s="9"/>
      <c r="C10" s="10" t="s">
        <v>4</v>
      </c>
      <c r="D10" s="9"/>
      <c r="E10" s="9"/>
      <c r="F10" s="9"/>
      <c r="G10" s="9"/>
      <c r="H10" s="9"/>
      <c r="I10" s="9"/>
      <c r="J10" s="10" t="s">
        <v>34</v>
      </c>
      <c r="K10" s="9"/>
      <c r="L10" s="11"/>
      <c r="M10" s="11"/>
      <c r="N10" s="11"/>
      <c r="O10" s="11"/>
      <c r="P10" s="11"/>
      <c r="Q10" s="11"/>
      <c r="R10" s="11"/>
    </row>
    <row r="11" spans="1:19" x14ac:dyDescent="0.2">
      <c r="C11" s="12" t="s">
        <v>5</v>
      </c>
      <c r="D11" s="13"/>
      <c r="E11" s="13"/>
      <c r="F11" s="13"/>
      <c r="G11" s="14"/>
      <c r="H11" s="12" t="s">
        <v>6</v>
      </c>
      <c r="I11" s="13"/>
      <c r="J11" s="13"/>
      <c r="K11" s="13"/>
      <c r="S11" s="11"/>
    </row>
    <row r="12" spans="1:19" x14ac:dyDescent="0.2">
      <c r="B12" s="13"/>
      <c r="C12" s="15" t="s">
        <v>7</v>
      </c>
      <c r="D12" s="15" t="s">
        <v>8</v>
      </c>
      <c r="E12" s="15" t="s">
        <v>9</v>
      </c>
      <c r="F12" s="15" t="s">
        <v>10</v>
      </c>
      <c r="G12" s="15" t="s">
        <v>11</v>
      </c>
      <c r="H12" s="15" t="s">
        <v>7</v>
      </c>
      <c r="I12" s="15" t="s">
        <v>12</v>
      </c>
      <c r="J12" s="15" t="s">
        <v>13</v>
      </c>
      <c r="K12" s="15" t="s">
        <v>14</v>
      </c>
      <c r="S12" s="11"/>
    </row>
    <row r="13" spans="1:19" x14ac:dyDescent="0.2">
      <c r="C13" s="14"/>
      <c r="G13" s="14"/>
    </row>
    <row r="14" spans="1:19" x14ac:dyDescent="0.2">
      <c r="B14" s="5" t="s">
        <v>15</v>
      </c>
      <c r="C14" s="6">
        <f>D14+E14+F14</f>
        <v>3190</v>
      </c>
      <c r="D14" s="16">
        <v>2314</v>
      </c>
      <c r="E14" s="16">
        <v>852</v>
      </c>
      <c r="F14" s="16">
        <v>24</v>
      </c>
      <c r="G14" s="17">
        <v>12</v>
      </c>
      <c r="H14" s="7">
        <f>I14+J14+K14</f>
        <v>3299.8</v>
      </c>
      <c r="I14" s="16">
        <v>1182.4000000000001</v>
      </c>
      <c r="J14" s="16">
        <v>1631</v>
      </c>
      <c r="K14" s="16">
        <v>486.4</v>
      </c>
    </row>
    <row r="15" spans="1:19" x14ac:dyDescent="0.2">
      <c r="B15" s="5" t="s">
        <v>16</v>
      </c>
      <c r="C15" s="6">
        <f>D15+E15+F15</f>
        <v>2497</v>
      </c>
      <c r="D15" s="16">
        <v>1718</v>
      </c>
      <c r="E15" s="16">
        <v>727</v>
      </c>
      <c r="F15" s="16">
        <v>52</v>
      </c>
      <c r="G15" s="17">
        <v>13</v>
      </c>
      <c r="H15" s="7">
        <f>I15+J15+K15</f>
        <v>2664.8</v>
      </c>
      <c r="I15" s="16">
        <v>937</v>
      </c>
      <c r="J15" s="16">
        <v>1441</v>
      </c>
      <c r="K15" s="16">
        <v>286.8</v>
      </c>
    </row>
    <row r="16" spans="1:19" x14ac:dyDescent="0.2">
      <c r="B16" s="5" t="s">
        <v>17</v>
      </c>
      <c r="C16" s="6">
        <f>D16+E16+F16</f>
        <v>5029</v>
      </c>
      <c r="D16" s="16">
        <v>3351</v>
      </c>
      <c r="E16" s="16">
        <v>1562.5</v>
      </c>
      <c r="F16" s="16">
        <v>115.5</v>
      </c>
      <c r="G16" s="17">
        <v>10</v>
      </c>
      <c r="H16" s="7">
        <f>I16+J16+K16</f>
        <v>5018</v>
      </c>
      <c r="I16" s="16">
        <v>1569</v>
      </c>
      <c r="J16" s="16">
        <v>2454</v>
      </c>
      <c r="K16" s="16">
        <v>995</v>
      </c>
    </row>
    <row r="17" spans="2:11" x14ac:dyDescent="0.2">
      <c r="B17" s="5" t="s">
        <v>18</v>
      </c>
      <c r="C17" s="6">
        <f>D17+E17+F17</f>
        <v>5502</v>
      </c>
      <c r="D17" s="16">
        <v>3733</v>
      </c>
      <c r="E17" s="16">
        <v>1697</v>
      </c>
      <c r="F17" s="16">
        <v>72</v>
      </c>
      <c r="G17" s="17">
        <v>11</v>
      </c>
      <c r="H17" s="7">
        <f>I17+J17+K17</f>
        <v>5483.8</v>
      </c>
      <c r="I17" s="16">
        <v>1855.4</v>
      </c>
      <c r="J17" s="16">
        <v>2461.4</v>
      </c>
      <c r="K17" s="16">
        <v>1167</v>
      </c>
    </row>
    <row r="18" spans="2:11" x14ac:dyDescent="0.2">
      <c r="C18" s="14"/>
      <c r="G18" s="14"/>
    </row>
    <row r="19" spans="2:11" x14ac:dyDescent="0.2">
      <c r="B19" s="5" t="s">
        <v>19</v>
      </c>
      <c r="C19" s="6">
        <f>D19+E19+F19</f>
        <v>5166.3</v>
      </c>
      <c r="D19" s="16">
        <v>3422.6</v>
      </c>
      <c r="E19" s="16">
        <v>1672.4</v>
      </c>
      <c r="F19" s="16">
        <v>71.3</v>
      </c>
      <c r="G19" s="17">
        <v>8</v>
      </c>
      <c r="H19" s="7">
        <f>I19+J19+K19</f>
        <v>5170.8999999999996</v>
      </c>
      <c r="I19" s="16">
        <v>1572.6</v>
      </c>
      <c r="J19" s="16">
        <v>2467.3000000000002</v>
      </c>
      <c r="K19" s="16">
        <v>1131</v>
      </c>
    </row>
    <row r="20" spans="2:11" ht="18" customHeight="1" x14ac:dyDescent="0.2">
      <c r="B20" s="5" t="s">
        <v>20</v>
      </c>
      <c r="C20" s="6">
        <f>D20+E20+F20</f>
        <v>4562.7</v>
      </c>
      <c r="D20" s="16">
        <v>3077.7</v>
      </c>
      <c r="E20" s="16">
        <v>1417</v>
      </c>
      <c r="F20" s="16">
        <v>68</v>
      </c>
      <c r="G20" s="17">
        <v>8</v>
      </c>
      <c r="H20" s="7">
        <f>I20+J20+K20</f>
        <v>4562.5</v>
      </c>
      <c r="I20" s="16">
        <v>1430</v>
      </c>
      <c r="J20" s="16">
        <v>2055.9</v>
      </c>
      <c r="K20" s="16">
        <v>1076.5999999999999</v>
      </c>
    </row>
    <row r="21" spans="2:11" x14ac:dyDescent="0.2">
      <c r="B21" s="5" t="s">
        <v>21</v>
      </c>
      <c r="C21" s="6">
        <v>4360</v>
      </c>
      <c r="D21" s="16">
        <v>2931</v>
      </c>
      <c r="E21" s="16">
        <v>1353</v>
      </c>
      <c r="F21" s="16">
        <v>78</v>
      </c>
      <c r="G21" s="17">
        <v>8</v>
      </c>
      <c r="H21" s="7">
        <f>I21+J21+K21+1</f>
        <v>4360</v>
      </c>
      <c r="I21" s="16">
        <v>1299</v>
      </c>
      <c r="J21" s="16">
        <v>2034</v>
      </c>
      <c r="K21" s="16">
        <v>1026</v>
      </c>
    </row>
    <row r="22" spans="2:11" x14ac:dyDescent="0.2">
      <c r="B22" s="1" t="s">
        <v>40</v>
      </c>
      <c r="C22" s="6">
        <f>D22+E22+F22-2</f>
        <v>3944</v>
      </c>
      <c r="D22" s="2">
        <f>SUM(D24:D36)</f>
        <v>2753</v>
      </c>
      <c r="E22" s="2">
        <f>SUM(E24:E36)</f>
        <v>1116</v>
      </c>
      <c r="F22" s="2">
        <f>SUM(F24:F36)</f>
        <v>77</v>
      </c>
      <c r="G22" s="3">
        <v>8</v>
      </c>
      <c r="H22" s="2">
        <f>I22+J22+K22-2</f>
        <v>3944</v>
      </c>
      <c r="I22" s="2">
        <f>SUM(I24:I36)</f>
        <v>1214</v>
      </c>
      <c r="J22" s="2">
        <f>SUM(J24:J36)</f>
        <v>1993</v>
      </c>
      <c r="K22" s="2">
        <f>SUM(K24:K36)</f>
        <v>739</v>
      </c>
    </row>
    <row r="23" spans="2:11" x14ac:dyDescent="0.2">
      <c r="C23" s="14"/>
      <c r="G23" s="17"/>
      <c r="I23" s="16"/>
      <c r="J23" s="16"/>
    </row>
    <row r="24" spans="2:11" x14ac:dyDescent="0.2">
      <c r="B24" s="5" t="s">
        <v>22</v>
      </c>
      <c r="C24" s="6">
        <f>D24+E24+F24</f>
        <v>321</v>
      </c>
      <c r="D24" s="16">
        <v>236</v>
      </c>
      <c r="E24" s="16">
        <v>80</v>
      </c>
      <c r="F24" s="16">
        <v>5</v>
      </c>
      <c r="G24" s="18" t="s">
        <v>35</v>
      </c>
      <c r="H24" s="7">
        <f t="shared" ref="H24:H29" si="0">I24+J24+K24</f>
        <v>321</v>
      </c>
      <c r="I24" s="16">
        <v>110</v>
      </c>
      <c r="J24" s="16">
        <v>143</v>
      </c>
      <c r="K24" s="16">
        <v>68</v>
      </c>
    </row>
    <row r="25" spans="2:11" x14ac:dyDescent="0.2">
      <c r="B25" s="5" t="s">
        <v>23</v>
      </c>
      <c r="C25" s="6">
        <f>D25+E25+F25</f>
        <v>388</v>
      </c>
      <c r="D25" s="16">
        <v>259</v>
      </c>
      <c r="E25" s="16">
        <v>122</v>
      </c>
      <c r="F25" s="16">
        <v>7</v>
      </c>
      <c r="G25" s="18" t="s">
        <v>36</v>
      </c>
      <c r="H25" s="7">
        <f t="shared" si="0"/>
        <v>388</v>
      </c>
      <c r="I25" s="16">
        <v>133</v>
      </c>
      <c r="J25" s="16">
        <v>173</v>
      </c>
      <c r="K25" s="16">
        <v>82</v>
      </c>
    </row>
    <row r="26" spans="2:11" x14ac:dyDescent="0.2">
      <c r="B26" s="5" t="s">
        <v>24</v>
      </c>
      <c r="C26" s="6">
        <f>D26+E26+F26-1</f>
        <v>427</v>
      </c>
      <c r="D26" s="16">
        <v>301</v>
      </c>
      <c r="E26" s="16">
        <v>117</v>
      </c>
      <c r="F26" s="16">
        <v>10</v>
      </c>
      <c r="G26" s="18" t="s">
        <v>37</v>
      </c>
      <c r="H26" s="7">
        <f t="shared" si="0"/>
        <v>427</v>
      </c>
      <c r="I26" s="16">
        <v>155</v>
      </c>
      <c r="J26" s="16">
        <v>195</v>
      </c>
      <c r="K26" s="16">
        <v>77</v>
      </c>
    </row>
    <row r="27" spans="2:11" x14ac:dyDescent="0.2">
      <c r="B27" s="5" t="s">
        <v>25</v>
      </c>
      <c r="C27" s="6">
        <f>D27+E27+F27</f>
        <v>354</v>
      </c>
      <c r="D27" s="16">
        <v>246</v>
      </c>
      <c r="E27" s="16">
        <v>100</v>
      </c>
      <c r="F27" s="16">
        <v>8</v>
      </c>
      <c r="G27" s="18" t="s">
        <v>35</v>
      </c>
      <c r="H27" s="7">
        <f t="shared" si="0"/>
        <v>354</v>
      </c>
      <c r="I27" s="16">
        <v>114</v>
      </c>
      <c r="J27" s="16">
        <v>164</v>
      </c>
      <c r="K27" s="16">
        <v>76</v>
      </c>
    </row>
    <row r="28" spans="2:11" x14ac:dyDescent="0.2">
      <c r="B28" s="5" t="s">
        <v>26</v>
      </c>
      <c r="C28" s="6">
        <f>D28+E28+F28</f>
        <v>318</v>
      </c>
      <c r="D28" s="16">
        <v>226</v>
      </c>
      <c r="E28" s="16">
        <v>86</v>
      </c>
      <c r="F28" s="16">
        <v>6</v>
      </c>
      <c r="G28" s="18" t="s">
        <v>38</v>
      </c>
      <c r="H28" s="7">
        <f t="shared" si="0"/>
        <v>318</v>
      </c>
      <c r="I28" s="16">
        <v>94</v>
      </c>
      <c r="J28" s="16">
        <v>164</v>
      </c>
      <c r="K28" s="16">
        <v>60</v>
      </c>
    </row>
    <row r="29" spans="2:11" x14ac:dyDescent="0.2">
      <c r="B29" s="5" t="s">
        <v>27</v>
      </c>
      <c r="C29" s="6">
        <f>D29+E29+F29</f>
        <v>307</v>
      </c>
      <c r="D29" s="16">
        <v>204</v>
      </c>
      <c r="E29" s="16">
        <v>97</v>
      </c>
      <c r="F29" s="16">
        <v>6</v>
      </c>
      <c r="G29" s="18" t="s">
        <v>37</v>
      </c>
      <c r="H29" s="7">
        <f t="shared" si="0"/>
        <v>307</v>
      </c>
      <c r="I29" s="16">
        <v>93</v>
      </c>
      <c r="J29" s="16">
        <v>161</v>
      </c>
      <c r="K29" s="16">
        <v>53</v>
      </c>
    </row>
    <row r="30" spans="2:11" x14ac:dyDescent="0.2">
      <c r="C30" s="14"/>
      <c r="G30" s="17"/>
    </row>
    <row r="31" spans="2:11" x14ac:dyDescent="0.2">
      <c r="B31" s="5" t="s">
        <v>28</v>
      </c>
      <c r="C31" s="6">
        <f>D31+E31+F31-1</f>
        <v>293</v>
      </c>
      <c r="D31" s="16">
        <v>200</v>
      </c>
      <c r="E31" s="16">
        <v>88</v>
      </c>
      <c r="F31" s="16">
        <v>6</v>
      </c>
      <c r="G31" s="18" t="s">
        <v>35</v>
      </c>
      <c r="H31" s="7">
        <f>I31+J31+K31</f>
        <v>293</v>
      </c>
      <c r="I31" s="16">
        <v>83</v>
      </c>
      <c r="J31" s="16">
        <v>153</v>
      </c>
      <c r="K31" s="16">
        <v>57</v>
      </c>
    </row>
    <row r="32" spans="2:11" x14ac:dyDescent="0.2">
      <c r="B32" s="5" t="s">
        <v>29</v>
      </c>
      <c r="C32" s="6">
        <f>D32+E32+F32</f>
        <v>282</v>
      </c>
      <c r="D32" s="16">
        <v>195</v>
      </c>
      <c r="E32" s="16">
        <v>81</v>
      </c>
      <c r="F32" s="16">
        <v>6</v>
      </c>
      <c r="G32" s="18" t="s">
        <v>38</v>
      </c>
      <c r="H32" s="7">
        <f>I32+J32+K32</f>
        <v>282</v>
      </c>
      <c r="I32" s="16">
        <v>79</v>
      </c>
      <c r="J32" s="16">
        <v>154</v>
      </c>
      <c r="K32" s="16">
        <v>49</v>
      </c>
    </row>
    <row r="33" spans="2:11" x14ac:dyDescent="0.2">
      <c r="B33" s="5" t="s">
        <v>30</v>
      </c>
      <c r="C33" s="6">
        <f>D33+E33+F33</f>
        <v>279</v>
      </c>
      <c r="D33" s="16">
        <v>198</v>
      </c>
      <c r="E33" s="16">
        <v>76</v>
      </c>
      <c r="F33" s="16">
        <v>5</v>
      </c>
      <c r="G33" s="18" t="s">
        <v>37</v>
      </c>
      <c r="H33" s="7">
        <f>I33+J33+K33-1</f>
        <v>279</v>
      </c>
      <c r="I33" s="16">
        <v>77</v>
      </c>
      <c r="J33" s="16">
        <v>158</v>
      </c>
      <c r="K33" s="16">
        <v>45</v>
      </c>
    </row>
    <row r="34" spans="2:11" x14ac:dyDescent="0.2">
      <c r="B34" s="5" t="s">
        <v>31</v>
      </c>
      <c r="C34" s="6">
        <f>D34+E34+F34-1</f>
        <v>311</v>
      </c>
      <c r="D34" s="16">
        <v>223</v>
      </c>
      <c r="E34" s="16">
        <v>83</v>
      </c>
      <c r="F34" s="16">
        <v>6</v>
      </c>
      <c r="G34" s="18" t="s">
        <v>35</v>
      </c>
      <c r="H34" s="7">
        <f>I34+J34+K34-1</f>
        <v>311</v>
      </c>
      <c r="I34" s="16">
        <v>87</v>
      </c>
      <c r="J34" s="16">
        <v>172</v>
      </c>
      <c r="K34" s="16">
        <v>53</v>
      </c>
    </row>
    <row r="35" spans="2:11" x14ac:dyDescent="0.2">
      <c r="B35" s="5" t="s">
        <v>32</v>
      </c>
      <c r="C35" s="6">
        <f>D35+E35+F35+1</f>
        <v>310</v>
      </c>
      <c r="D35" s="16">
        <v>219</v>
      </c>
      <c r="E35" s="16">
        <v>85</v>
      </c>
      <c r="F35" s="16">
        <v>5</v>
      </c>
      <c r="G35" s="18" t="s">
        <v>38</v>
      </c>
      <c r="H35" s="7">
        <f>I35+J35+K35</f>
        <v>310</v>
      </c>
      <c r="I35" s="16">
        <v>95</v>
      </c>
      <c r="J35" s="16">
        <v>164</v>
      </c>
      <c r="K35" s="16">
        <v>51</v>
      </c>
    </row>
    <row r="36" spans="2:11" x14ac:dyDescent="0.2">
      <c r="B36" s="5" t="s">
        <v>33</v>
      </c>
      <c r="C36" s="6">
        <f>D36+E36+F36-1</f>
        <v>353</v>
      </c>
      <c r="D36" s="16">
        <v>246</v>
      </c>
      <c r="E36" s="16">
        <v>101</v>
      </c>
      <c r="F36" s="16">
        <v>7</v>
      </c>
      <c r="G36" s="18" t="s">
        <v>37</v>
      </c>
      <c r="H36" s="7">
        <f>I36+J36+K36-1</f>
        <v>353</v>
      </c>
      <c r="I36" s="16">
        <v>94</v>
      </c>
      <c r="J36" s="16">
        <v>192</v>
      </c>
      <c r="K36" s="16">
        <v>68</v>
      </c>
    </row>
    <row r="37" spans="2:11" ht="18" thickBot="1" x14ac:dyDescent="0.25">
      <c r="B37" s="9"/>
      <c r="C37" s="19"/>
      <c r="D37" s="9"/>
      <c r="E37" s="9"/>
      <c r="F37" s="9"/>
      <c r="G37" s="19"/>
      <c r="H37" s="9"/>
      <c r="I37" s="9"/>
      <c r="J37" s="9"/>
      <c r="K37" s="9"/>
    </row>
    <row r="38" spans="2:11" x14ac:dyDescent="0.2">
      <c r="C38" s="5" t="s">
        <v>39</v>
      </c>
    </row>
    <row r="72" spans="1:11" x14ac:dyDescent="0.2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5"/>
    </row>
  </sheetData>
  <phoneticPr fontId="2"/>
  <pageMargins left="0.34" right="0.4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885"/>
  <sheetViews>
    <sheetView showGridLines="0" zoomScale="75" zoomScaleNormal="75" workbookViewId="0">
      <selection activeCell="C75" sqref="C75"/>
    </sheetView>
  </sheetViews>
  <sheetFormatPr defaultColWidth="12.69921875" defaultRowHeight="17.25" x14ac:dyDescent="0.2"/>
  <cols>
    <col min="1" max="1" width="10.69921875" style="8" customWidth="1"/>
    <col min="2" max="2" width="4.69921875" style="8" customWidth="1"/>
    <col min="3" max="3" width="5.69921875" style="8" customWidth="1"/>
    <col min="4" max="4" width="14.69921875" style="8" customWidth="1"/>
    <col min="5" max="6" width="12.69921875" style="8"/>
    <col min="7" max="7" width="14.69921875" style="8" customWidth="1"/>
    <col min="8" max="9" width="13.69921875" style="8" customWidth="1"/>
    <col min="10" max="16384" width="12.69921875" style="8"/>
  </cols>
  <sheetData>
    <row r="1" spans="1:10" x14ac:dyDescent="0.2">
      <c r="A1" s="5"/>
    </row>
    <row r="6" spans="1:10" x14ac:dyDescent="0.2">
      <c r="E6" s="1" t="s">
        <v>145</v>
      </c>
    </row>
    <row r="7" spans="1:10" x14ac:dyDescent="0.2">
      <c r="E7" s="5" t="s">
        <v>144</v>
      </c>
    </row>
    <row r="9" spans="1:10" x14ac:dyDescent="0.2">
      <c r="D9" s="5" t="s">
        <v>143</v>
      </c>
    </row>
    <row r="10" spans="1:10" x14ac:dyDescent="0.2">
      <c r="D10" s="5" t="s">
        <v>142</v>
      </c>
    </row>
    <row r="11" spans="1:10" x14ac:dyDescent="0.2">
      <c r="D11" s="5" t="s">
        <v>141</v>
      </c>
    </row>
    <row r="12" spans="1:10" x14ac:dyDescent="0.2">
      <c r="D12" s="5" t="s">
        <v>140</v>
      </c>
    </row>
    <row r="13" spans="1:10" x14ac:dyDescent="0.2">
      <c r="D13" s="5" t="s">
        <v>139</v>
      </c>
    </row>
    <row r="14" spans="1:10" x14ac:dyDescent="0.2">
      <c r="D14" s="5" t="s">
        <v>138</v>
      </c>
    </row>
    <row r="15" spans="1:10" x14ac:dyDescent="0.2">
      <c r="D15" s="5" t="s">
        <v>137</v>
      </c>
    </row>
    <row r="16" spans="1:10" ht="18" thickBot="1" x14ac:dyDescent="0.25">
      <c r="B16" s="9"/>
      <c r="C16" s="9"/>
      <c r="D16" s="9"/>
      <c r="E16" s="9"/>
      <c r="F16" s="9"/>
      <c r="G16" s="9"/>
      <c r="H16" s="9"/>
      <c r="I16" s="9"/>
      <c r="J16" s="9"/>
    </row>
    <row r="17" spans="2:10" x14ac:dyDescent="0.2">
      <c r="E17" s="14"/>
      <c r="F17" s="14"/>
      <c r="G17" s="14"/>
      <c r="H17" s="12" t="s">
        <v>76</v>
      </c>
      <c r="I17" s="12" t="s">
        <v>75</v>
      </c>
      <c r="J17" s="12" t="s">
        <v>136</v>
      </c>
    </row>
    <row r="18" spans="2:10" x14ac:dyDescent="0.2">
      <c r="B18" s="13"/>
      <c r="C18" s="13"/>
      <c r="D18" s="13"/>
      <c r="E18" s="15" t="s">
        <v>73</v>
      </c>
      <c r="F18" s="15" t="s">
        <v>72</v>
      </c>
      <c r="G18" s="15" t="s">
        <v>71</v>
      </c>
      <c r="H18" s="23" t="s">
        <v>70</v>
      </c>
      <c r="I18" s="23" t="s">
        <v>69</v>
      </c>
      <c r="J18" s="23" t="s">
        <v>68</v>
      </c>
    </row>
    <row r="19" spans="2:10" x14ac:dyDescent="0.2">
      <c r="E19" s="14"/>
      <c r="F19" s="22" t="s">
        <v>67</v>
      </c>
      <c r="G19" s="22" t="s">
        <v>135</v>
      </c>
      <c r="H19" s="22" t="s">
        <v>135</v>
      </c>
      <c r="I19" s="22" t="s">
        <v>135</v>
      </c>
      <c r="J19" s="22" t="s">
        <v>135</v>
      </c>
    </row>
    <row r="20" spans="2:10" x14ac:dyDescent="0.2">
      <c r="C20" s="5" t="s">
        <v>134</v>
      </c>
      <c r="D20" s="5" t="s">
        <v>133</v>
      </c>
      <c r="E20" s="17">
        <v>3348</v>
      </c>
      <c r="F20" s="16">
        <v>67136</v>
      </c>
      <c r="G20" s="16">
        <v>282407.7</v>
      </c>
      <c r="H20" s="16">
        <v>1186651</v>
      </c>
      <c r="I20" s="16">
        <v>2309148</v>
      </c>
      <c r="J20" s="16">
        <v>836383.8</v>
      </c>
    </row>
    <row r="21" spans="2:10" x14ac:dyDescent="0.2">
      <c r="D21" s="5" t="s">
        <v>132</v>
      </c>
      <c r="E21" s="17">
        <v>3202</v>
      </c>
      <c r="F21" s="16">
        <v>65240</v>
      </c>
      <c r="G21" s="16">
        <v>271714.59999999998</v>
      </c>
      <c r="H21" s="16">
        <v>1221450.6000000001</v>
      </c>
      <c r="I21" s="16">
        <v>2389522</v>
      </c>
      <c r="J21" s="16">
        <v>861635</v>
      </c>
    </row>
    <row r="22" spans="2:10" x14ac:dyDescent="0.2">
      <c r="C22" s="37" t="s">
        <v>131</v>
      </c>
      <c r="D22" s="7"/>
      <c r="E22" s="17">
        <v>3363</v>
      </c>
      <c r="F22" s="16">
        <v>64825</v>
      </c>
      <c r="G22" s="16">
        <v>268307</v>
      </c>
      <c r="H22" s="16">
        <v>1086457</v>
      </c>
      <c r="I22" s="16">
        <v>2234642</v>
      </c>
      <c r="J22" s="16">
        <v>820682</v>
      </c>
    </row>
    <row r="23" spans="2:10" x14ac:dyDescent="0.2">
      <c r="C23" s="36" t="s">
        <v>44</v>
      </c>
      <c r="D23" s="1"/>
      <c r="E23" s="35">
        <f>SUM(E26:E32)</f>
        <v>3128</v>
      </c>
      <c r="F23" s="2">
        <f>SUM(F26:F32)</f>
        <v>61538</v>
      </c>
      <c r="G23" s="2">
        <f>SUM(G26:G32)-1</f>
        <v>255518</v>
      </c>
      <c r="H23" s="2">
        <f>SUM(H26:H32)</f>
        <v>1062246</v>
      </c>
      <c r="I23" s="2">
        <f>SUM(I26:I32)</f>
        <v>2159182</v>
      </c>
      <c r="J23" s="2">
        <f>SUM(J26:J32)</f>
        <v>780629</v>
      </c>
    </row>
    <row r="24" spans="2:10" x14ac:dyDescent="0.2">
      <c r="E24" s="14"/>
    </row>
    <row r="25" spans="2:10" x14ac:dyDescent="0.2">
      <c r="C25" s="5" t="s">
        <v>130</v>
      </c>
      <c r="E25" s="14"/>
    </row>
    <row r="26" spans="2:10" x14ac:dyDescent="0.2">
      <c r="B26" s="5" t="s">
        <v>129</v>
      </c>
      <c r="E26" s="17">
        <v>1808</v>
      </c>
      <c r="F26" s="16">
        <v>10988</v>
      </c>
      <c r="G26" s="16">
        <v>27319</v>
      </c>
      <c r="H26" s="16">
        <v>57562</v>
      </c>
      <c r="I26" s="16">
        <v>115543</v>
      </c>
      <c r="J26" s="16">
        <v>56209</v>
      </c>
    </row>
    <row r="27" spans="2:10" x14ac:dyDescent="0.2">
      <c r="B27" s="5" t="s">
        <v>128</v>
      </c>
      <c r="E27" s="17">
        <v>657</v>
      </c>
      <c r="F27" s="16">
        <v>8909</v>
      </c>
      <c r="G27" s="16">
        <v>29411</v>
      </c>
      <c r="H27" s="16">
        <v>69724</v>
      </c>
      <c r="I27" s="16">
        <v>130834</v>
      </c>
      <c r="J27" s="16">
        <v>55643</v>
      </c>
    </row>
    <row r="28" spans="2:10" x14ac:dyDescent="0.2">
      <c r="B28" s="5" t="s">
        <v>127</v>
      </c>
      <c r="E28" s="17">
        <v>304</v>
      </c>
      <c r="F28" s="16">
        <v>7370</v>
      </c>
      <c r="G28" s="16">
        <v>25534</v>
      </c>
      <c r="H28" s="16">
        <v>72279</v>
      </c>
      <c r="I28" s="16">
        <v>129179</v>
      </c>
      <c r="J28" s="16">
        <v>51772</v>
      </c>
    </row>
    <row r="29" spans="2:10" x14ac:dyDescent="0.2">
      <c r="E29" s="14"/>
    </row>
    <row r="30" spans="2:10" x14ac:dyDescent="0.2">
      <c r="B30" s="5" t="s">
        <v>126</v>
      </c>
      <c r="E30" s="17">
        <v>294</v>
      </c>
      <c r="F30" s="16">
        <v>15779</v>
      </c>
      <c r="G30" s="16">
        <v>62166</v>
      </c>
      <c r="H30" s="16">
        <v>257829</v>
      </c>
      <c r="I30" s="16">
        <v>434141</v>
      </c>
      <c r="J30" s="16">
        <v>150565</v>
      </c>
    </row>
    <row r="31" spans="2:10" x14ac:dyDescent="0.2">
      <c r="B31" s="5" t="s">
        <v>125</v>
      </c>
      <c r="E31" s="17">
        <v>56</v>
      </c>
      <c r="F31" s="16">
        <v>8878</v>
      </c>
      <c r="G31" s="16">
        <v>42372</v>
      </c>
      <c r="H31" s="16">
        <v>137712</v>
      </c>
      <c r="I31" s="16">
        <v>368182</v>
      </c>
      <c r="J31" s="16">
        <v>148937</v>
      </c>
    </row>
    <row r="32" spans="2:10" x14ac:dyDescent="0.2">
      <c r="B32" s="5" t="s">
        <v>124</v>
      </c>
      <c r="E32" s="17">
        <v>9</v>
      </c>
      <c r="F32" s="16">
        <v>9614</v>
      </c>
      <c r="G32" s="16">
        <v>68717</v>
      </c>
      <c r="H32" s="16">
        <v>467140</v>
      </c>
      <c r="I32" s="16">
        <v>981303</v>
      </c>
      <c r="J32" s="16">
        <v>317503</v>
      </c>
    </row>
    <row r="33" spans="2:10" ht="18" thickBot="1" x14ac:dyDescent="0.25">
      <c r="B33" s="9"/>
      <c r="C33" s="9"/>
      <c r="D33" s="9"/>
      <c r="E33" s="19"/>
      <c r="F33" s="9"/>
      <c r="G33" s="9"/>
      <c r="H33" s="9"/>
      <c r="I33" s="9"/>
      <c r="J33" s="9"/>
    </row>
    <row r="34" spans="2:10" x14ac:dyDescent="0.2">
      <c r="C34" s="5"/>
      <c r="D34" s="5" t="s">
        <v>43</v>
      </c>
      <c r="E34" s="5"/>
      <c r="H34" s="5" t="s">
        <v>123</v>
      </c>
    </row>
    <row r="35" spans="2:10" x14ac:dyDescent="0.2">
      <c r="E35" s="5"/>
      <c r="H35" s="5"/>
    </row>
    <row r="38" spans="2:10" x14ac:dyDescent="0.2">
      <c r="E38" s="1" t="s">
        <v>122</v>
      </c>
      <c r="H38" s="5" t="s">
        <v>121</v>
      </c>
    </row>
    <row r="39" spans="2:10" ht="18" thickBot="1" x14ac:dyDescent="0.25">
      <c r="B39" s="9"/>
      <c r="C39" s="9"/>
      <c r="D39" s="9"/>
      <c r="E39" s="10" t="s">
        <v>120</v>
      </c>
      <c r="F39" s="9"/>
      <c r="G39" s="9"/>
      <c r="H39" s="9"/>
      <c r="I39" s="9"/>
      <c r="J39" s="9"/>
    </row>
    <row r="40" spans="2:10" x14ac:dyDescent="0.2">
      <c r="E40" s="14"/>
      <c r="F40" s="11"/>
      <c r="G40" s="11"/>
      <c r="H40" s="11"/>
      <c r="I40" s="11"/>
      <c r="J40" s="11"/>
    </row>
    <row r="41" spans="2:10" x14ac:dyDescent="0.2">
      <c r="E41" s="25"/>
      <c r="F41" s="13"/>
      <c r="G41" s="24" t="s">
        <v>119</v>
      </c>
      <c r="H41" s="13"/>
      <c r="I41" s="13"/>
      <c r="J41" s="13"/>
    </row>
    <row r="42" spans="2:10" x14ac:dyDescent="0.2">
      <c r="E42" s="14"/>
      <c r="F42" s="14"/>
      <c r="G42" s="14"/>
      <c r="H42" s="12" t="s">
        <v>76</v>
      </c>
      <c r="I42" s="12" t="s">
        <v>75</v>
      </c>
      <c r="J42" s="12" t="s">
        <v>74</v>
      </c>
    </row>
    <row r="43" spans="2:10" x14ac:dyDescent="0.2">
      <c r="B43" s="13"/>
      <c r="C43" s="13"/>
      <c r="D43" s="13"/>
      <c r="E43" s="15" t="s">
        <v>73</v>
      </c>
      <c r="F43" s="15" t="s">
        <v>72</v>
      </c>
      <c r="G43" s="15" t="s">
        <v>71</v>
      </c>
      <c r="H43" s="23" t="s">
        <v>70</v>
      </c>
      <c r="I43" s="23" t="s">
        <v>69</v>
      </c>
      <c r="J43" s="23" t="s">
        <v>68</v>
      </c>
    </row>
    <row r="44" spans="2:10" x14ac:dyDescent="0.2">
      <c r="E44" s="14"/>
      <c r="F44" s="22" t="s">
        <v>67</v>
      </c>
      <c r="G44" s="22" t="s">
        <v>66</v>
      </c>
      <c r="H44" s="22" t="s">
        <v>66</v>
      </c>
      <c r="I44" s="22" t="s">
        <v>66</v>
      </c>
      <c r="J44" s="22" t="s">
        <v>66</v>
      </c>
    </row>
    <row r="45" spans="2:10" x14ac:dyDescent="0.2">
      <c r="C45" s="5" t="s">
        <v>65</v>
      </c>
      <c r="E45" s="6">
        <f>E87+E118+E160+E191+E234+E265+E308+E339+E382+E413+E456+E487+E529+E560+E603+E634+E677+E708+E751+E782+E825+E856</f>
        <v>7266</v>
      </c>
      <c r="F45" s="7">
        <f>F87+F118+F160+F191+F234+F265+F308+F339+F382+F413+F456+F487+F529+F560+F603+F634+F677+F708+F751+F782+F825+F856</f>
        <v>85887</v>
      </c>
      <c r="G45" s="7">
        <f>G87+G118+G160+G191+G234+G265+G308+G339+G382+G413+G456+G487+G529+G560+G603+G634+G677+G708+G751+G782+G825+G856</f>
        <v>190685.99999999994</v>
      </c>
      <c r="H45" s="7">
        <f>H87+H118+H160+H191+H234+H265+H308+H339+H382+H413+H456+H487+H529+H560+H603+H634+H677+H708+H751+H782+H825+H856</f>
        <v>1440499.9999999995</v>
      </c>
      <c r="I45" s="7">
        <f>I87+I118+I160+I191+I234+I265+I308+I339+I382+I413+I456+I487+I529+I560+I603+I634+I677+I708+I751+I782+I825+I856</f>
        <v>2131180.9999999991</v>
      </c>
      <c r="J45" s="7">
        <f>J87+J118+J160+J191+J234+J265+J308+J339+J382+J413+J456+J487+J529+J560+J603+J634+J677+J708+J751+J782+J825+J856</f>
        <v>602369.60000000009</v>
      </c>
    </row>
    <row r="46" spans="2:10" x14ac:dyDescent="0.2">
      <c r="C46" s="5" t="s">
        <v>64</v>
      </c>
      <c r="E46" s="6">
        <f>E88+E119+E161+E192+E235+E266+E309+E340+E383+E414+E457+E488+E530+E561+E604+E635+E678+E709+E752+E783+E826+E857</f>
        <v>7082</v>
      </c>
      <c r="F46" s="7">
        <f>F88+F119+F161+F192+F235+F266+F309+F340+F383+F414+F457+F488+F530+F561+F604+F635+F678+F709+F752+F783+F826+F857</f>
        <v>84338</v>
      </c>
      <c r="G46" s="7">
        <f>G88+G119+G161+G192+G235+G266+G309+G340+G383+G414+G457+G488+G530+G561+G604+G635+G678+G709+G752+G783+G826+G857</f>
        <v>195136.7</v>
      </c>
      <c r="H46" s="7">
        <f>H88+H119+H161+H192+H235+H266+H309+H340+H383+H414+H457+H488+H530+H561+H604+H635+H678+H709+H752+H783+H826+H857</f>
        <v>1868994.3</v>
      </c>
      <c r="I46" s="7">
        <f>I88+I119+I161+I192+I235+I266+I309+I340+I383+I414+I457+I488+I530+I561+I604+I635+I678+I709+I752+I783+I826+I857+2</f>
        <v>2619803.4</v>
      </c>
      <c r="J46" s="7">
        <f>J88+J119+J161+J192+J235+J266+J309+J340+J383+J414+J457+J488+J530+J561+J604+J635+J678+J709+J752+J783+J826+J857</f>
        <v>666128.69999999995</v>
      </c>
    </row>
    <row r="47" spans="2:10" x14ac:dyDescent="0.2">
      <c r="C47" s="5" t="s">
        <v>63</v>
      </c>
      <c r="E47" s="6">
        <f>E89+E120+E162+E193+E236+E267+E310+E341+E384+E415+E458+E489+E531+E562+E605+E636+E679+E710+E753+E784+E827+E858</f>
        <v>4461</v>
      </c>
      <c r="F47" s="7">
        <f>F89+F120+F162+F193+F236+F267+F310+F341+F384+F415+F458+F489+F531+F562+F605+F636+F679+F710+F753+F784+F827+F858</f>
        <v>81340</v>
      </c>
      <c r="G47" s="7">
        <f>G89+G120+G162+G193+G236+G267+G310+G341+G384+G415+G458+G489+G531+G562+G605+G636+G679+G710+G753+G784+G827+G858</f>
        <v>214930.7</v>
      </c>
      <c r="H47" s="7">
        <f>H89+H120+H162+H193+H236+H267+H310+H341+H384+H415+H458+H489+H531+H562+H605+H636+H679+H710+H753+H784+H827+H858</f>
        <v>1923411.4</v>
      </c>
      <c r="I47" s="7">
        <f>I89+I120+I162+I193+I236+I267+I310+I341+I384+I415+I458+I489+I531+I562+I605+I636+I679+I710+I753+I784+I827+I858</f>
        <v>2838530.3</v>
      </c>
      <c r="J47" s="7">
        <f>J89+J120+J162+J193+J236+J267+J310+J341+J384+J415+J458+J489+J531+J562+J605+J636+J679+J710+J753+J784+J827+J858</f>
        <v>801854</v>
      </c>
    </row>
    <row r="48" spans="2:10" x14ac:dyDescent="0.2">
      <c r="C48" s="5" t="s">
        <v>62</v>
      </c>
      <c r="E48" s="6">
        <f>E90+E121+E163+E194+E237+E268+E311+E342+E385+E416+E459+E490+E532+E563+E606+E637+E680+E711+E754+E785+E828+E859</f>
        <v>4446</v>
      </c>
      <c r="F48" s="7">
        <f>F90+F121+F163+F194+F237+F268+F311+F342+F385+F416+F459+F490+F532+F563+F606+F637+F680+F711+F754+F785+F828+F859</f>
        <v>80340</v>
      </c>
      <c r="G48" s="7">
        <f>G90+G121+G163+G194+G237+G268+G311+G342+G385+G416+G459+G490+G532+G563+G606+G637+G680+G711+G754+G785+G828+G859</f>
        <v>224505.8</v>
      </c>
      <c r="H48" s="7">
        <f>H90+H121+H163+H194+H237+H268+H311+H342+H385+H416+H459+H490+H532+H563+H606+H637+H680+H711+H754+H785+H828+H859</f>
        <v>1911782</v>
      </c>
      <c r="I48" s="7">
        <f>I90+I121+I163+I194+I237+I268+I311+I342+I385+I416+I459+I490+I532+I563+I606+I637+I680+I711+I754+I785+I828+I859</f>
        <v>2849572.6</v>
      </c>
      <c r="J48" s="7">
        <f>J90+J121+J163+J194+J237+J268+J311+J342+J385+J416+J459+J490+J532+J563+J606+J637+J680+J711+J754+J785+J828+J859</f>
        <v>808061</v>
      </c>
    </row>
    <row r="49" spans="3:10" x14ac:dyDescent="0.2">
      <c r="E49" s="14"/>
    </row>
    <row r="50" spans="3:10" x14ac:dyDescent="0.2">
      <c r="C50" s="5" t="s">
        <v>61</v>
      </c>
      <c r="E50" s="6">
        <f>E92+E123+E165+E196+E239+E270+E313+E344+E387+E418+E461+E492+E534+E565+E608+E639+E682+E713+E756+E787+E830+E861</f>
        <v>4337</v>
      </c>
      <c r="F50" s="7">
        <f>F92+F123+F165+F196+F239+F270+F313+F344+F387+F418+F461+F492+F534+F565+F608+F639+F682+F713+F756+F787+F830+F861</f>
        <v>79125</v>
      </c>
      <c r="G50" s="7">
        <f>G92+G123+G165+G196+G239+G270+G313+G344+G387+G418+G461+G492+G534+G565+G608+G639+G682+G713+G756+G787+G830+G861</f>
        <v>225464.4</v>
      </c>
      <c r="H50" s="7">
        <f>H92+H123+H165+H196+H239+H270+H313+H344+H387+H418+H461+H492+H534+H565+H608+H639+H682+H713+H756+H787+H830+H861</f>
        <v>1700727.4</v>
      </c>
      <c r="I50" s="7">
        <f>I92+I123+I165+I196+I239+I270+I313+I344+I387+I418+I461+I492+I534+I565+I608+I639+I682+I713+I756+I787+I830+I861</f>
        <v>2400139</v>
      </c>
      <c r="J50" s="7">
        <f>J92+J123+J165+J196+J239+J270+J313+J344+J387+J418+J461+J492+J534+J565+J608+J639+J682+J713+J756+J787+J830+J861</f>
        <v>593593.4</v>
      </c>
    </row>
    <row r="51" spans="3:10" x14ac:dyDescent="0.2">
      <c r="C51" s="5" t="s">
        <v>60</v>
      </c>
      <c r="E51" s="6">
        <f>E93+E124+E166+E197+E240+E271+E314+E345+E388+E419+E462+E493+E535+E566+E609+E640+E683+E714+E757+E788+E831+E862</f>
        <v>4104</v>
      </c>
      <c r="F51" s="7">
        <f>F93+F124+F166+F197+F240+F271+F314+F345+F388+F419+F462+F493+F535+F566+F609+F640+F683+F714+F757+F788+F831+F862</f>
        <v>77195</v>
      </c>
      <c r="G51" s="7">
        <f>G93+G124+G166+G197+G240+G271+G314+G345+G388+G419+G462+G493+G535+G566+G609+G640+G683+G714+G757+G788+G831+G862</f>
        <v>221754.3</v>
      </c>
      <c r="H51" s="7">
        <f>H93+H124+H166+H197+H240+H271+H314+H345+H388+H419+H462+H493+H535+H566+H609+H640+H683+H714+H757+H788+H831+H862</f>
        <v>1722660.7</v>
      </c>
      <c r="I51" s="7">
        <f>I93+I124+I166+I197+I240+I271+I314+I345+I388+I419+I462+I493+I535+I566+I609+I640+I683+I714+I757+I788+I831+I862+1</f>
        <v>2514611.6</v>
      </c>
      <c r="J51" s="7">
        <f>J93+J124+J166+J197+J240+J271+J314+J345+J388+J419+J462+J493+J535+J566+J609+J640+J683+J714+J757+J788+J831+J862</f>
        <v>683052.3</v>
      </c>
    </row>
    <row r="52" spans="3:10" x14ac:dyDescent="0.2">
      <c r="C52" s="5" t="s">
        <v>59</v>
      </c>
      <c r="E52" s="6">
        <f>E94+E125+E167+E198+E241+E272+E315+E346+E389+E420+E463+E494+E536+E567+E610+E641+E684+E715+E758+E789+E832+E863</f>
        <v>4164</v>
      </c>
      <c r="F52" s="7">
        <f>F94+F125+F167+F198+F241+F272+F315+F346+F389+F420+F463+F494+F536+F567+F610+F641+F684+F715+F758+F789+F832+F863</f>
        <v>77833</v>
      </c>
      <c r="G52" s="7">
        <f>G94+G125+G167+G198+G241+G272+G315+G346+G389+G420+G463+G494+G536+G567+G610+G641+G684+G715+G758+G789+G832+G863</f>
        <v>242126.7</v>
      </c>
      <c r="H52" s="7">
        <f>H94+H125+H167+H198+H241+H272+H315+H346+H389+H420+H463+H494+H536+H567+H610+H641+H684+H715+H758+H789+H832+H863</f>
        <v>1744848</v>
      </c>
      <c r="I52" s="7">
        <f>I94+I125+I167+I198+I241+I272+I315+I346+I389+I420+I463+I494+I536+I567+I610+I641+I684+I715+I758+I789+I832+I863</f>
        <v>2613133.4</v>
      </c>
      <c r="J52" s="7">
        <f>J94+J125+J167+J198+J241+J272+J315+J346+J389+J420+J463+J494+J536+J567+J610+J641+J684+J715+J758+J789+J832+J863</f>
        <v>720803</v>
      </c>
    </row>
    <row r="53" spans="3:10" x14ac:dyDescent="0.2">
      <c r="C53" s="5" t="s">
        <v>58</v>
      </c>
      <c r="E53" s="6">
        <f>E95+E126+E168+E199+E242+E273+E316+E347+E390+E421+E464+E495+E537+E568+E611+E642+E685+E716+E759+E790+E833+E864</f>
        <v>4186</v>
      </c>
      <c r="F53" s="7">
        <f>F95+F126+F168+F199+F242+F273+F316+F347+F390+F421+F464+F495+F537+F568+F611+F642+F685+F716+F759+F790+F833+F864</f>
        <v>77197</v>
      </c>
      <c r="G53" s="7">
        <f>G95+G126+G168+G199+G242+G273+G316+G347+G390+G421+G464+G495+G537+G568+G611+G642+G685+G716+G759+G790+G833+G864</f>
        <v>240316.3</v>
      </c>
      <c r="H53" s="7">
        <f>H95+H126+H168+H199+H242+H273+H316+H347+H390+H421+H464+H495+H537+H568+H611+H642+H685+H716+H759+H790+H833+H864</f>
        <v>1271096.7</v>
      </c>
      <c r="I53" s="7">
        <f>I95+I126+I168+I199+I242+I273+I316+I347+I390+I421+I464+I495+I537+I568+I611+I642+I685+I716+I759+I790+I833+I864</f>
        <v>2126131.2999999998</v>
      </c>
      <c r="J53" s="7">
        <f>J95+J126+J168+J199+J242+J273+J316+J347+J390+J421+J464+J495+J537+J568+J611+J642+J685+J716+J759+J790+J833+J864</f>
        <v>650174.30000000005</v>
      </c>
    </row>
    <row r="54" spans="3:10" x14ac:dyDescent="0.2">
      <c r="E54" s="14"/>
    </row>
    <row r="55" spans="3:10" x14ac:dyDescent="0.2">
      <c r="C55" s="5" t="s">
        <v>57</v>
      </c>
      <c r="E55" s="6">
        <f>E97+E128+E170+E201+E244+E275+E318+E349+E392+E423+E466+E497+E539+E570+E613+E644+E687+E718+E761+E792+E835+E866</f>
        <v>4040</v>
      </c>
      <c r="F55" s="7">
        <f>F97+F128+F170+F201+F244+F275+F318+F349+F392+F423+F466+F497+F539+F570+F613+F644+F687+F718+F761+F792+F835+F866</f>
        <v>75475</v>
      </c>
      <c r="G55" s="7">
        <f>G97+G128+G170+G201+G244+G275+G318+G349+G392+G423+G466+G497+G539+G570+G613+G644+G687+G718+G761+G792+G835+G866</f>
        <v>236620</v>
      </c>
      <c r="H55" s="7">
        <f>H97+H128+H170+H201+H244+H275+H318+H349+H392+H423+H466+H497+H539+H570+H613+H644+H687+H718+H761+H792+H835+H866</f>
        <v>1208070.3</v>
      </c>
      <c r="I55" s="7">
        <f>I97+I128+I170+I201+I244+I275+I318+I349+I392+I423+I466+I497+I539+I570+I613+I644+I687+I718+I761+I792+I835+I866-3</f>
        <v>2012542.7</v>
      </c>
      <c r="J55" s="7">
        <f>J97+J128+J170+J201+J244+J275+J318+J349+J392+J423+J466+J497+J539+J570+J613+J644+J687+J718+J761+J792+J835+J866</f>
        <v>616148.69999999995</v>
      </c>
    </row>
    <row r="56" spans="3:10" x14ac:dyDescent="0.2">
      <c r="C56" s="5" t="s">
        <v>56</v>
      </c>
      <c r="E56" s="6">
        <f>E98+E129+E171+E202+E245+E276+E319+E350+E393+E424+E467+E498+E540+E571+E614+E645+E688+E719+E762+E793+E836+E867</f>
        <v>4110</v>
      </c>
      <c r="F56" s="7">
        <f>F98+F129+F171+F202+F245+F276+F319+F350+F393+F424+F467+F498+F540+F571+F614+F645+F688+F719+F762+F793+F836+F867</f>
        <v>75098</v>
      </c>
      <c r="G56" s="7">
        <f>G98+G129+G171+G202+G245+G276+G319+G350+G393+G424+G467+G498+G540+G571+G614+G645+G688+G719+G762+G793+G836+G867</f>
        <v>244123</v>
      </c>
      <c r="H56" s="7">
        <f>H98+H129+H171+H202+H245+H276+H319+H350+H393+H424+H467+H498+H540+H571+H614+H645+H688+H719+H762+H793+H836+H867</f>
        <v>1212246</v>
      </c>
      <c r="I56" s="7">
        <f>I98+I129+I171+I202+I245+I276+I319+I350+I393+I424+I467+I498+I540+I571+I614+I645+I688+I719+I762+I793+I836+I867</f>
        <v>2118716.7000000002</v>
      </c>
      <c r="J56" s="7">
        <f>J98+J129+J171+J202+J245+J276+J319+J350+J393+J424+J467+J498+J540+J571+J614+J645+J688+J719+J762+J793+J836+J867</f>
        <v>693009</v>
      </c>
    </row>
    <row r="57" spans="3:10" x14ac:dyDescent="0.2">
      <c r="C57" s="5" t="s">
        <v>55</v>
      </c>
      <c r="E57" s="6">
        <f>E99+E130+E172+E203+E246+E277+E320+E351+E394+E425+E468+E499+E541+E572+E615+E646+E689+E720+E763+E794+E837+E868</f>
        <v>3960</v>
      </c>
      <c r="F57" s="7">
        <f>F99+F130+F172+F203+F246+F277+F320+F351+F394+F425+F468+F499+F541+F572+F615+F646+F689+F720+F763+F794+F837+F868</f>
        <v>73240</v>
      </c>
      <c r="G57" s="7">
        <f>G99+G130+G172+G203+G246+G277+G320+G351+G394+G425+G468+G499+G541+G572+G615+G646+G689+G720+G763+G794+G837+G868</f>
        <v>245527.7</v>
      </c>
      <c r="H57" s="7">
        <f>H99+H130+H172+H203+H246+H277+H320+H351+H394+H425+H468+H499+H541+H572+H615+H646+H689+H720+H763+H794+H837+H868</f>
        <v>1365002.4</v>
      </c>
      <c r="I57" s="7">
        <f>I99+I130+I172+I203+I246+I277+I320+I351+I394+I425+I468+I499+I541+I572+I615+I646+I689+I720+I763+I794+I837+I868</f>
        <v>2280044.2999999998</v>
      </c>
      <c r="J57" s="7">
        <f>J99+J130+J172+J203+J246+J277+J320+J351+J394+J425+J468+J499+J541+J572+J615+J646+J689+J720+J763+J794+J837+J868</f>
        <v>696312.3</v>
      </c>
    </row>
    <row r="58" spans="3:10" x14ac:dyDescent="0.2">
      <c r="C58" s="5" t="s">
        <v>54</v>
      </c>
      <c r="E58" s="6">
        <f>E100+E131+E173+E204+E247+E278+E321+E352+E395+E426+E469+E500+E542+E573+E616+E647+E690+E721+E764+E795+E838+E869</f>
        <v>4087</v>
      </c>
      <c r="F58" s="7">
        <f>F100+F131+F173+F204+F247+F278+F321+F352+F395+F426+F469+F500+F542+F573+F616+F647+F690+F721+F764+F795+F838+F869</f>
        <v>75013</v>
      </c>
      <c r="G58" s="7">
        <f>G100+G131+G173+G204+G247+G278+G321+G352+G395+G426+G469+G500+G542+G573+G616+G647+G690+G721+G764+G795+G838+G869</f>
        <v>260529.7</v>
      </c>
      <c r="H58" s="7">
        <f>H100+H131+H173+H204+H247+H278+H321+H352+H395+H426+H469+H500+H542+H573+H616+H647+H690+H721+H764+H795+H838+H869</f>
        <v>1515541</v>
      </c>
      <c r="I58" s="7">
        <f>I100+I131+I173+I204+I247+I278+I321+I352+I395+I426+I469+I500+I542+I573+I616+I647+I690+I721+I764+I795+I838+I869+2</f>
        <v>2501355.4</v>
      </c>
      <c r="J58" s="7">
        <f>J100+J131+J173+J204+J247+J278+J321+J352+J395+J426+J469+J500+J542+J573+J616+J647+J690+J721+J764+J795+J838+J869</f>
        <v>739074</v>
      </c>
    </row>
    <row r="59" spans="3:10" x14ac:dyDescent="0.2">
      <c r="E59" s="14"/>
    </row>
    <row r="60" spans="3:10" x14ac:dyDescent="0.2">
      <c r="C60" s="5" t="s">
        <v>53</v>
      </c>
      <c r="E60" s="6">
        <f>E102+E133+E175+E206+E249+E280+E323+E354+E397+E428+E471+E502+E544+E575+E618+E649+E692+E723+E766+E797+E840+E871</f>
        <v>3941</v>
      </c>
      <c r="F60" s="7">
        <f>F102+F133+F175+F206+F249+F280+F323+F354+F397+F428+F471+F502+F544+F575+F618+F649+F692+F723+F766+F797+F840+F871</f>
        <v>74688</v>
      </c>
      <c r="G60" s="7">
        <f>G102+G133+G175+G206+G249+G280+G323+G354+G397+G428+G471+G502+G544+G575+G618+G649+G692+G723+G766+G797+G840+G871</f>
        <v>269593.3</v>
      </c>
      <c r="H60" s="7">
        <f>H102+H133+H175+H206+H249+H280+H323+H354+H397+H428+H471+H502+H544+H575+H618+H649+H692+H723+H766+H797+H840+H871</f>
        <v>1526218.7</v>
      </c>
      <c r="I60" s="7">
        <f>I102+I133+I175+I206+I249+I280+I323+I354+I397+I428+I471+I502+I544+I575+I618+I649+I692+I723+I766+I797+I840+I871-1</f>
        <v>2551932.6</v>
      </c>
      <c r="J60" s="7">
        <f>J102+J133+J175+J206+J249+J280+J323+J354+J397+J428+J471+J502+J544+J575+J618+J649+J692+J723+J766+J797+J840+J871</f>
        <v>775203.7</v>
      </c>
    </row>
    <row r="61" spans="3:10" x14ac:dyDescent="0.2">
      <c r="C61" s="5" t="s">
        <v>52</v>
      </c>
      <c r="E61" s="6">
        <f>E103+E134+E176+E207+E250+E281+E324+E355+E398+E429+E472+E503+E545+E576+E619+E650+E693+E724+E767+E798+E841+E872</f>
        <v>3824</v>
      </c>
      <c r="F61" s="7">
        <f>F103+F134+F176+F207+F250+F281+F324+F355+F398+F429+F472+F503+F545+F576+F619+F650+F693+F724+F767+F798+F841+F872</f>
        <v>74276</v>
      </c>
      <c r="G61" s="7">
        <f>G103+G134+G176+G207+G250+G281+G324+G355+G398+G429+G472+G503+G545+G576+G619+G650+G693+G724+G767+G798+G841+G872</f>
        <v>277827</v>
      </c>
      <c r="H61" s="7">
        <f>H103+H134+H176+H207+H250+H281+H324+H355+H398+H429+H472+H503+H545+H576+H619+H650+H693+H724+H767+H798+H841+H872</f>
        <v>1349949.2</v>
      </c>
      <c r="I61" s="7">
        <f>I103+I134+I176+I207+I250+I281+I324+I355+I398+I429+I472+I503+I545+I576+I619+I650+I693+I724+I767+I798+I841+I872+2</f>
        <v>2404812.4000000004</v>
      </c>
      <c r="J61" s="7">
        <f>J103+J134+J176+J207+J250+J281+J324+J355+J398+J429+J472+J503+J545+J576+J619+J650+J693+J724+J767+J798+J841+J872</f>
        <v>764407.3</v>
      </c>
    </row>
    <row r="62" spans="3:10" x14ac:dyDescent="0.2">
      <c r="C62" s="5" t="s">
        <v>51</v>
      </c>
      <c r="E62" s="6">
        <f>E104+E135+E177+E208+E251+E282+E325+E356+E399+E430+E473+E504+E546+E577+E620+E651+E694+E725+E768+E799+E842+E873</f>
        <v>3772</v>
      </c>
      <c r="F62" s="7">
        <f>F104+F135+F177+F208+F251+F282+F325+F356+F399+F430+F473+F504+F546+F577+F620+F651+F694+F725+F768+F799+F842+F873</f>
        <v>73403</v>
      </c>
      <c r="G62" s="7">
        <f>G104+G135+G177+G208+G251+G282+G325+G356+G399+G430+G473+G504+G546+G577+G620+G651+G694+G725+G768+G799+G842+G873</f>
        <v>282038</v>
      </c>
      <c r="H62" s="7">
        <f>H104+H135+H177+H208+H251+H282+H325+H356+H399+H430+H473+H504+H546+H577+H620+H651+H694+H725+H768+H799+H842+H873</f>
        <v>1220439.3</v>
      </c>
      <c r="I62" s="7">
        <f>I104+I135+I177+I208+I251+I282+I325+I356+I399+I430+I473+I504+I546+I577+I620+I651+I694+I725+I768+I799+I842+I873+2</f>
        <v>2334818.2000000002</v>
      </c>
      <c r="J62" s="7">
        <f>J104+J135+J177+J208+J251+J282+J325+J356+J399+J430+J473+J504+J546+J577+J620+J651+J694+J725+J768+J799+J842+J873</f>
        <v>841298.5</v>
      </c>
    </row>
    <row r="63" spans="3:10" x14ac:dyDescent="0.2">
      <c r="C63" s="5" t="s">
        <v>50</v>
      </c>
      <c r="E63" s="34">
        <f>E105+E136+E178+E209+E252+E283+E326+E357+E400+E431+E474+E505+E547+E578+E621+E652+E695+E726+E769+E800+E843+E874</f>
        <v>3544</v>
      </c>
      <c r="F63" s="33">
        <f>F105+F136+F178+F209+F252+F283+F326+F357+F400+F431+F474+F505+F547+F578+F621+F652+F695+F726+F769+F800+F843+F874</f>
        <v>70337</v>
      </c>
      <c r="G63" s="33">
        <f>G105+G136+G178+G209+G252+G283+G326+G357+G400+G431+G474+G505+G547+G578+G621+G652+G695+G726+G769+G800+G843+G874</f>
        <v>284813</v>
      </c>
      <c r="H63" s="33">
        <f>H105+H136+H178+H209+H252+H283+H326+H357+H400+H431+H474+H505+H547+H578+H621+H652+H695+H726+H769+H800+H843+H874</f>
        <v>1145990</v>
      </c>
      <c r="I63" s="33">
        <f>I105+I136+I178+I209+I252+I283+I326+I357+I400+I431+I474+I505+I547+I578+I621+I652+I695+I726+I769+I800+I843+I874</f>
        <v>2213348.6</v>
      </c>
      <c r="J63" s="33">
        <f>J105+J136+J178+J209+J252+J283+J326+J357+J400+J431+J474+J505+J547+J578+J621+J652+J695+J726+J769+J800+J843+J874</f>
        <v>791703.4</v>
      </c>
    </row>
    <row r="64" spans="3:10" x14ac:dyDescent="0.2">
      <c r="E64" s="14"/>
    </row>
    <row r="65" spans="1:10" x14ac:dyDescent="0.2">
      <c r="C65" s="5" t="s">
        <v>49</v>
      </c>
      <c r="E65" s="34">
        <f>E107+E138+E180+E211+E254+E285+E328+E359+E402+E433+E476+E507+E549+E580+E623+E654+E697+E728+E771+E802+E845+E876</f>
        <v>3507</v>
      </c>
      <c r="F65" s="33">
        <f>F107+F138+F180+F211+F254+F285+F328+F359+F402+F433+F476+F507+F549+F580+F623+F654+F697+F728+F771+F802+F845+F876</f>
        <v>68765</v>
      </c>
      <c r="G65" s="33">
        <f>G107+G138+G180+G211+G254+G285+G328+G359+G402+G433+G476+G507+G549+G580+G623+G654+G697+G728+G771+G802+G845+G876</f>
        <v>293071.59999999998</v>
      </c>
      <c r="H65" s="33">
        <f>H107+H138+H180+H211+H254+H285+H328+H359+H402+H433+H476+H507+H549+H580+H623+H654+H697+H728+H771+H802+H845+H876</f>
        <v>1170790.3</v>
      </c>
      <c r="I65" s="33">
        <f>I107+I138+I180+I211+I254+I285+I328+I359+I402+I433+I476+I507+I549+I580+I623+I654+I697+I728+I771+I802+I845+I876</f>
        <v>2256008.2000000002</v>
      </c>
      <c r="J65" s="33">
        <f>J107+J138+J180+J211+J254+J285+J328+J359+J402+J433+J476+J507+J549+J580+J623+J654+J697+J728+J771+J802+J845+J876</f>
        <v>832405</v>
      </c>
    </row>
    <row r="66" spans="1:10" x14ac:dyDescent="0.2">
      <c r="C66" s="5" t="s">
        <v>48</v>
      </c>
      <c r="E66" s="34">
        <f>E108+E139+E181+E212+E255+E286+E329+E360+E403+E434+E477+E508+E550+E581+E624+E655+E698+E729+E772+E803+E846+E877</f>
        <v>3348</v>
      </c>
      <c r="F66" s="33">
        <f>F108+F139+F181+F212+F255+F286+F329+F360+F403+F434+F477+F508+F550+F581+F624+F655+F698+F729+F772+F803+F846+F877</f>
        <v>67136</v>
      </c>
      <c r="G66" s="33">
        <f>G108+G139+G181+G212+G255+G286+G329+G360+G403+G434+G477+G508+G550+G581+G624+G655+G698+G729+G772+G803+G846+G877</f>
        <v>282408</v>
      </c>
      <c r="H66" s="33">
        <f>H108+H139+H181+H212+H255+H286+H329+H360+H403+H434+H477+H508+H550+H581+H624+H655+H698+H729+H772+H803+H846+H877</f>
        <v>1186651</v>
      </c>
      <c r="I66" s="33">
        <f>I108+I139+I181+I212+I255+I286+I329+I360+I403+I434+I477+I508+I550+I581+I624+I655+I698+I729+I772+I803+I846+I877</f>
        <v>2309148</v>
      </c>
      <c r="J66" s="33">
        <f>J108+J139+J181+J212+J255+J286+J329+J360+J403+J434+J477+J508+J550+J581+J624+J655+J698+J729+J772+J803+J846+J877</f>
        <v>836383.8</v>
      </c>
    </row>
    <row r="67" spans="1:10" x14ac:dyDescent="0.2">
      <c r="C67" s="5" t="s">
        <v>47</v>
      </c>
      <c r="E67" s="34">
        <f>E109+E140+E182+E213+E256+E287+E330+E361+E404+E435+E478+E509+E551+E582+E625+E656+E699+E730+E773+E804+E847+E878</f>
        <v>3202</v>
      </c>
      <c r="F67" s="33">
        <f>F109+F140+F182+F213+F256+F287+F330+F361+F404+F435+F478+F509+F551+F582+F625+F656+F699+F730+F773+F804+F847+F878+2480</f>
        <v>65240</v>
      </c>
      <c r="G67" s="33">
        <f>G109+G140+G182+G213+G256+G287+G330+G361+G404+G435+G478+G509+G551+G582+G625+G656+G699+G730+G773+G804+G847+G878+7548</f>
        <v>271715</v>
      </c>
      <c r="H67" s="33">
        <f>H109+H140+H182+H213+H256+H287+H330+H361+H404+H435+H478+H509+H551+H582+H625+H656+H699+H730+H773+H804+H847+H878+15847</f>
        <v>1221451</v>
      </c>
      <c r="I67" s="33">
        <f>I109+I140+I182+I213+I256+I287+I330+I361+I404+I435+I478+I509+I551+I582+I625+I656+I699+I730+I773+I804+I847+I878+33184</f>
        <v>2389522</v>
      </c>
      <c r="J67" s="33">
        <f>J109+J140+J182+J213+J256+J287+J330+J361+J404+J435+J478+J509+J551+J582+J625+J656+J699+J730+J773+J804+J847+J878+15776</f>
        <v>861635</v>
      </c>
    </row>
    <row r="68" spans="1:10" x14ac:dyDescent="0.2">
      <c r="C68" s="5" t="s">
        <v>45</v>
      </c>
      <c r="D68" s="7"/>
      <c r="E68" s="34">
        <f>E110+E141+E183+E214+E257+E288+E331+E362+E405+E436+E479+E510+E552+E583+E626+E657+E700+E731+E774+E805+E848+E879</f>
        <v>3363</v>
      </c>
      <c r="F68" s="33">
        <f>F110+F141+F183+F214+F257+F288+F331+F362+F405+F436+F479+F510+F552+F583+F626+F657+F700+F731+F774+F805+F848+F879</f>
        <v>64825</v>
      </c>
      <c r="G68" s="33">
        <f>G110+G141+G183+G214+G257+G288+G331+G362+G405+G436+G479+G510+G552+G583+G626+G657+G700+G731+G774+G805+G848+G879-2</f>
        <v>268307</v>
      </c>
      <c r="H68" s="33">
        <f>H110+H141+H183+H214+H257+H288+H331+H362+H405+H436+H479+H510+H552+H583+H626+H657+H700+H731+H774+H805+H848+H879+1</f>
        <v>1086457</v>
      </c>
      <c r="I68" s="33">
        <f>I110+I141+I183+I214+I257+I288+I331+I362+I405+I436+I479+I510+I552+I583+I626+I657+I700+I731+I774+I805+I848+I879-1</f>
        <v>2234642</v>
      </c>
      <c r="J68" s="33">
        <f>J110+J141+J183+J214+J257+J288+J331+J362+J405+J436+J479+J510+J552+J583+J626+J657+J700+J731+J774+J805+J848+J879</f>
        <v>820682</v>
      </c>
    </row>
    <row r="69" spans="1:10" x14ac:dyDescent="0.2">
      <c r="C69" s="1" t="s">
        <v>118</v>
      </c>
      <c r="D69" s="2"/>
      <c r="E69" s="32">
        <f>E111+E142+E184+E215+E258+E289+E332+E363+E406+E437+E480+E511+E553+E584+E627+E658+E701+E732+E775+E806+E849+E880</f>
        <v>3128</v>
      </c>
      <c r="F69" s="31">
        <f>F111+F142+F184+F215+F258+F289+F332+F363+F406+F437+F480+F511+F553+F584+F627+F658+F701+F732+F775+F806+F849+F880</f>
        <v>61538</v>
      </c>
      <c r="G69" s="31">
        <f>G111+G142+G184+G215+G258+G289+G332+G363+G406+G437+G480+G511+G553+G584+G627+G658+G701+G732+G775+G806+G849+G880+1</f>
        <v>255518</v>
      </c>
      <c r="H69" s="31">
        <f>H111+H142+H184+H215+H258+H289+H332+H363+H406+H437+H480+H511+H553+H584+H627+H658+H701+H732+H775+H806+H849+H880+1</f>
        <v>1062246</v>
      </c>
      <c r="I69" s="31">
        <f>I111+I142+I184+I215+I258+I289+I332+I363+I406+I437+I480+I511+I553+I584+I627+I658+I701+I732+I775+I806+I849+I880</f>
        <v>2159182</v>
      </c>
      <c r="J69" s="31">
        <f>J111+J142+J184+J215+J258+J289+J332+J363+J406+J437+J480+J511+J553+J584+J627+J658+J701+J732+J775+J806+J849+J880+1</f>
        <v>780629</v>
      </c>
    </row>
    <row r="70" spans="1:10" ht="18" thickBot="1" x14ac:dyDescent="0.25">
      <c r="B70" s="9"/>
      <c r="C70" s="9"/>
      <c r="D70" s="9"/>
      <c r="E70" s="30"/>
      <c r="F70" s="29"/>
      <c r="G70" s="28"/>
      <c r="H70" s="28"/>
      <c r="I70" s="28"/>
      <c r="J70" s="28"/>
    </row>
    <row r="71" spans="1:10" x14ac:dyDescent="0.2">
      <c r="D71" s="5" t="s">
        <v>43</v>
      </c>
      <c r="E71" s="5"/>
      <c r="H71" s="5" t="s">
        <v>42</v>
      </c>
    </row>
    <row r="72" spans="1:10" x14ac:dyDescent="0.2">
      <c r="H72" s="5" t="s">
        <v>117</v>
      </c>
    </row>
    <row r="73" spans="1:10" x14ac:dyDescent="0.2">
      <c r="A73" s="5"/>
    </row>
    <row r="74" spans="1:10" x14ac:dyDescent="0.2">
      <c r="A74" s="5"/>
    </row>
    <row r="79" spans="1:10" x14ac:dyDescent="0.2">
      <c r="F79" s="1" t="s">
        <v>81</v>
      </c>
    </row>
    <row r="80" spans="1:10" x14ac:dyDescent="0.2">
      <c r="F80" s="5" t="s">
        <v>80</v>
      </c>
    </row>
    <row r="81" spans="2:10" ht="18" thickBot="1" x14ac:dyDescent="0.25">
      <c r="B81" s="9"/>
      <c r="C81" s="9"/>
      <c r="D81" s="9"/>
      <c r="E81" s="9"/>
      <c r="F81" s="10" t="s">
        <v>79</v>
      </c>
      <c r="G81" s="9"/>
      <c r="H81" s="9"/>
      <c r="I81" s="9"/>
      <c r="J81" s="9"/>
    </row>
    <row r="82" spans="2:10" x14ac:dyDescent="0.2">
      <c r="E82" s="14"/>
      <c r="F82" s="11"/>
      <c r="G82" s="11"/>
      <c r="H82" s="11"/>
      <c r="I82" s="11"/>
      <c r="J82" s="11"/>
    </row>
    <row r="83" spans="2:10" x14ac:dyDescent="0.2">
      <c r="E83" s="25"/>
      <c r="F83" s="24" t="s">
        <v>116</v>
      </c>
      <c r="G83" s="13"/>
      <c r="H83" s="13"/>
      <c r="I83" s="13"/>
      <c r="J83" s="13"/>
    </row>
    <row r="84" spans="2:10" x14ac:dyDescent="0.2">
      <c r="E84" s="14"/>
      <c r="F84" s="14"/>
      <c r="G84" s="14"/>
      <c r="H84" s="12" t="s">
        <v>76</v>
      </c>
      <c r="I84" s="12" t="s">
        <v>75</v>
      </c>
      <c r="J84" s="12" t="s">
        <v>74</v>
      </c>
    </row>
    <row r="85" spans="2:10" x14ac:dyDescent="0.2">
      <c r="B85" s="13"/>
      <c r="C85" s="13"/>
      <c r="D85" s="13"/>
      <c r="E85" s="15" t="s">
        <v>73</v>
      </c>
      <c r="F85" s="15" t="s">
        <v>72</v>
      </c>
      <c r="G85" s="15" t="s">
        <v>71</v>
      </c>
      <c r="H85" s="23" t="s">
        <v>70</v>
      </c>
      <c r="I85" s="23" t="s">
        <v>69</v>
      </c>
      <c r="J85" s="23" t="s">
        <v>68</v>
      </c>
    </row>
    <row r="86" spans="2:10" x14ac:dyDescent="0.2">
      <c r="E86" s="14"/>
      <c r="F86" s="22" t="s">
        <v>67</v>
      </c>
      <c r="G86" s="22" t="s">
        <v>66</v>
      </c>
      <c r="H86" s="22" t="s">
        <v>66</v>
      </c>
      <c r="I86" s="22" t="s">
        <v>66</v>
      </c>
      <c r="J86" s="22" t="s">
        <v>66</v>
      </c>
    </row>
    <row r="87" spans="2:10" x14ac:dyDescent="0.2">
      <c r="C87" s="5" t="s">
        <v>115</v>
      </c>
      <c r="E87" s="17">
        <v>1178</v>
      </c>
      <c r="F87" s="16">
        <v>9285</v>
      </c>
      <c r="G87" s="16">
        <f>12665+0.4</f>
        <v>12665.4</v>
      </c>
      <c r="H87" s="16">
        <f>64436+0.4</f>
        <v>64436.4</v>
      </c>
      <c r="I87" s="16">
        <f>101752+0.4</f>
        <v>101752.4</v>
      </c>
      <c r="J87" s="16">
        <f>34218+0.4</f>
        <v>34218.400000000001</v>
      </c>
    </row>
    <row r="88" spans="2:10" x14ac:dyDescent="0.2">
      <c r="C88" s="5" t="s">
        <v>114</v>
      </c>
      <c r="E88" s="17">
        <v>1161</v>
      </c>
      <c r="F88" s="16">
        <v>9245</v>
      </c>
      <c r="G88" s="16">
        <f>12906+0.4</f>
        <v>12906.4</v>
      </c>
      <c r="H88" s="16">
        <f>70363-0.4</f>
        <v>70362.600000000006</v>
      </c>
      <c r="I88" s="16">
        <f>109397-0.4</f>
        <v>109396.6</v>
      </c>
      <c r="J88" s="16">
        <f>36561+0.4</f>
        <v>36561.4</v>
      </c>
    </row>
    <row r="89" spans="2:10" x14ac:dyDescent="0.2">
      <c r="C89" s="5" t="s">
        <v>63</v>
      </c>
      <c r="E89" s="17">
        <v>672</v>
      </c>
      <c r="F89" s="16">
        <v>8425</v>
      </c>
      <c r="G89" s="16">
        <f>14439+0.4</f>
        <v>14439.4</v>
      </c>
      <c r="H89" s="16">
        <f>72703-0.4</f>
        <v>72702.600000000006</v>
      </c>
      <c r="I89" s="16">
        <f>112851-0.4</f>
        <v>112850.6</v>
      </c>
      <c r="J89" s="16">
        <v>36125</v>
      </c>
    </row>
    <row r="90" spans="2:10" x14ac:dyDescent="0.2">
      <c r="C90" s="5" t="s">
        <v>62</v>
      </c>
      <c r="E90" s="17">
        <v>676</v>
      </c>
      <c r="F90" s="16">
        <v>8486</v>
      </c>
      <c r="G90" s="16">
        <f>15027+0.4</f>
        <v>15027.4</v>
      </c>
      <c r="H90" s="16">
        <v>73099</v>
      </c>
      <c r="I90" s="16">
        <f>114941+0.4</f>
        <v>114941.4</v>
      </c>
      <c r="J90" s="16">
        <v>38059</v>
      </c>
    </row>
    <row r="91" spans="2:10" x14ac:dyDescent="0.2">
      <c r="E91" s="14"/>
    </row>
    <row r="92" spans="2:10" x14ac:dyDescent="0.2">
      <c r="C92" s="5" t="s">
        <v>61</v>
      </c>
      <c r="E92" s="17">
        <v>660</v>
      </c>
      <c r="F92" s="16">
        <v>8468</v>
      </c>
      <c r="G92" s="16">
        <f>15360-0.4</f>
        <v>15359.6</v>
      </c>
      <c r="H92" s="16">
        <f>75981-0.4</f>
        <v>75980.600000000006</v>
      </c>
      <c r="I92" s="16">
        <v>115686</v>
      </c>
      <c r="J92" s="16">
        <f>36341-0.4</f>
        <v>36340.6</v>
      </c>
    </row>
    <row r="93" spans="2:10" x14ac:dyDescent="0.2">
      <c r="C93" s="5" t="s">
        <v>60</v>
      </c>
      <c r="E93" s="17">
        <v>632</v>
      </c>
      <c r="F93" s="16">
        <v>8624</v>
      </c>
      <c r="G93" s="16">
        <f>15868-0.4</f>
        <v>15867.6</v>
      </c>
      <c r="H93" s="16">
        <f>78852+0.4</f>
        <v>78852.399999999994</v>
      </c>
      <c r="I93" s="16">
        <f>120359+0.4</f>
        <v>120359.4</v>
      </c>
      <c r="J93" s="16">
        <f>38449-0.4</f>
        <v>38448.6</v>
      </c>
    </row>
    <row r="94" spans="2:10" x14ac:dyDescent="0.2">
      <c r="C94" s="5" t="s">
        <v>59</v>
      </c>
      <c r="E94" s="17">
        <v>609</v>
      </c>
      <c r="F94" s="16">
        <v>7743</v>
      </c>
      <c r="G94" s="16">
        <f>14098+0.4</f>
        <v>14098.4</v>
      </c>
      <c r="H94" s="16">
        <v>62901</v>
      </c>
      <c r="I94" s="16">
        <f>98186-0.4</f>
        <v>98185.600000000006</v>
      </c>
      <c r="J94" s="16">
        <v>33927</v>
      </c>
    </row>
    <row r="95" spans="2:10" x14ac:dyDescent="0.2">
      <c r="C95" s="5" t="s">
        <v>58</v>
      </c>
      <c r="E95" s="17">
        <v>592</v>
      </c>
      <c r="F95" s="16">
        <v>7836</v>
      </c>
      <c r="G95" s="16">
        <f>14631-0.4</f>
        <v>14630.6</v>
      </c>
      <c r="H95" s="16">
        <f>62020+0.4</f>
        <v>62020.4</v>
      </c>
      <c r="I95" s="16">
        <f>97260-0.4</f>
        <v>97259.6</v>
      </c>
      <c r="J95" s="16">
        <f>33446-0.4</f>
        <v>33445.599999999999</v>
      </c>
    </row>
    <row r="96" spans="2:10" x14ac:dyDescent="0.2">
      <c r="E96" s="14"/>
    </row>
    <row r="97" spans="2:10" x14ac:dyDescent="0.2">
      <c r="C97" s="5" t="s">
        <v>57</v>
      </c>
      <c r="E97" s="17">
        <v>561</v>
      </c>
      <c r="F97" s="16">
        <v>7900</v>
      </c>
      <c r="G97" s="16">
        <v>15190</v>
      </c>
      <c r="H97" s="16">
        <f>63452-0.4</f>
        <v>63451.6</v>
      </c>
      <c r="I97" s="16">
        <f>100577+0.4</f>
        <v>100577.4</v>
      </c>
      <c r="J97" s="16">
        <f>35443+0.4</f>
        <v>35443.4</v>
      </c>
    </row>
    <row r="98" spans="2:10" x14ac:dyDescent="0.2">
      <c r="C98" s="5" t="s">
        <v>56</v>
      </c>
      <c r="E98" s="17">
        <v>582</v>
      </c>
      <c r="F98" s="16">
        <v>7930</v>
      </c>
      <c r="G98" s="16">
        <v>16142</v>
      </c>
      <c r="H98" s="16">
        <v>68214</v>
      </c>
      <c r="I98" s="16">
        <f>106522+0.4</f>
        <v>106522.4</v>
      </c>
      <c r="J98" s="16">
        <v>36655</v>
      </c>
    </row>
    <row r="99" spans="2:10" x14ac:dyDescent="0.2">
      <c r="C99" s="5" t="s">
        <v>55</v>
      </c>
      <c r="E99" s="17">
        <v>542</v>
      </c>
      <c r="F99" s="16">
        <v>7880</v>
      </c>
      <c r="G99" s="16">
        <f>16832+0.4</f>
        <v>16832.400000000001</v>
      </c>
      <c r="H99" s="16">
        <f>72117-0.4</f>
        <v>72116.600000000006</v>
      </c>
      <c r="I99" s="16">
        <f>114073-0.4</f>
        <v>114072.6</v>
      </c>
      <c r="J99" s="16">
        <f>39425-0.4</f>
        <v>39424.6</v>
      </c>
    </row>
    <row r="100" spans="2:10" x14ac:dyDescent="0.2">
      <c r="C100" s="5" t="s">
        <v>54</v>
      </c>
      <c r="E100" s="17">
        <v>580</v>
      </c>
      <c r="F100" s="16">
        <v>8140</v>
      </c>
      <c r="G100" s="16">
        <f>18416+0.4</f>
        <v>18416.400000000001</v>
      </c>
      <c r="H100" s="16">
        <v>79060</v>
      </c>
      <c r="I100" s="16">
        <f>123617-0.4</f>
        <v>123616.6</v>
      </c>
      <c r="J100" s="16">
        <v>41469</v>
      </c>
    </row>
    <row r="101" spans="2:10" x14ac:dyDescent="0.2">
      <c r="E101" s="14"/>
    </row>
    <row r="102" spans="2:10" x14ac:dyDescent="0.2">
      <c r="C102" s="5" t="s">
        <v>53</v>
      </c>
      <c r="E102" s="17">
        <v>549</v>
      </c>
      <c r="F102" s="16">
        <v>8093</v>
      </c>
      <c r="G102" s="16">
        <f>18691-0.4</f>
        <v>18690.599999999999</v>
      </c>
      <c r="H102" s="16">
        <f>84717+0.4</f>
        <v>84717.4</v>
      </c>
      <c r="I102" s="16">
        <f>134138+0.4</f>
        <v>134138.4</v>
      </c>
      <c r="J102" s="16">
        <f>46044+0.4</f>
        <v>46044.4</v>
      </c>
    </row>
    <row r="103" spans="2:10" x14ac:dyDescent="0.2">
      <c r="C103" s="5" t="s">
        <v>52</v>
      </c>
      <c r="E103" s="17">
        <v>546</v>
      </c>
      <c r="F103" s="16">
        <v>8169</v>
      </c>
      <c r="G103" s="16">
        <v>19629</v>
      </c>
      <c r="H103" s="16">
        <f>86590-0.4</f>
        <v>86589.6</v>
      </c>
      <c r="I103" s="16">
        <f>137518-0.4</f>
        <v>137517.6</v>
      </c>
      <c r="J103" s="16">
        <f>48680-0.4</f>
        <v>48679.6</v>
      </c>
    </row>
    <row r="104" spans="2:10" x14ac:dyDescent="0.2">
      <c r="C104" s="5" t="s">
        <v>51</v>
      </c>
      <c r="E104" s="17">
        <v>554</v>
      </c>
      <c r="F104" s="16">
        <v>8688</v>
      </c>
      <c r="G104" s="16">
        <f>20897+0.4</f>
        <v>20897.400000000001</v>
      </c>
      <c r="H104" s="16">
        <f>87274-0.4</f>
        <v>87273.600000000006</v>
      </c>
      <c r="I104" s="16">
        <f>143205-0.4</f>
        <v>143204.6</v>
      </c>
      <c r="J104" s="16">
        <f>51764+0.4</f>
        <v>51764.4</v>
      </c>
    </row>
    <row r="105" spans="2:10" x14ac:dyDescent="0.2">
      <c r="C105" s="5" t="s">
        <v>50</v>
      </c>
      <c r="E105" s="17">
        <v>526</v>
      </c>
      <c r="F105" s="16">
        <v>8725</v>
      </c>
      <c r="G105" s="16">
        <f>26869+0.4</f>
        <v>26869.4</v>
      </c>
      <c r="H105" s="16">
        <v>84332</v>
      </c>
      <c r="I105" s="16">
        <f>138704+0.2</f>
        <v>138704.20000000001</v>
      </c>
      <c r="J105" s="16">
        <f>50383-0.4</f>
        <v>50382.6</v>
      </c>
    </row>
    <row r="106" spans="2:10" x14ac:dyDescent="0.2">
      <c r="E106" s="14"/>
    </row>
    <row r="107" spans="2:10" x14ac:dyDescent="0.2">
      <c r="C107" s="5" t="s">
        <v>49</v>
      </c>
      <c r="E107" s="17">
        <v>535</v>
      </c>
      <c r="F107" s="16">
        <v>8687</v>
      </c>
      <c r="G107" s="16">
        <v>23079.4</v>
      </c>
      <c r="H107" s="16">
        <v>83904.5</v>
      </c>
      <c r="I107" s="16">
        <f>145688-0.4</f>
        <v>145687.6</v>
      </c>
      <c r="J107" s="16">
        <v>57438</v>
      </c>
    </row>
    <row r="108" spans="2:10" x14ac:dyDescent="0.2">
      <c r="C108" s="5" t="s">
        <v>48</v>
      </c>
      <c r="E108" s="17">
        <v>508</v>
      </c>
      <c r="F108" s="16">
        <v>8522</v>
      </c>
      <c r="G108" s="16">
        <v>22630</v>
      </c>
      <c r="H108" s="16">
        <v>87580</v>
      </c>
      <c r="I108" s="16">
        <v>149071.5</v>
      </c>
      <c r="J108" s="16">
        <v>57133.4</v>
      </c>
    </row>
    <row r="109" spans="2:10" x14ac:dyDescent="0.2">
      <c r="C109" s="5" t="s">
        <v>47</v>
      </c>
      <c r="E109" s="17">
        <v>499</v>
      </c>
      <c r="F109" s="16">
        <v>8568</v>
      </c>
      <c r="G109" s="16">
        <v>22397</v>
      </c>
      <c r="H109" s="16">
        <v>89602</v>
      </c>
      <c r="I109" s="16">
        <v>149363</v>
      </c>
      <c r="J109" s="16">
        <v>55494</v>
      </c>
    </row>
    <row r="110" spans="2:10" x14ac:dyDescent="0.2">
      <c r="C110" s="5" t="s">
        <v>45</v>
      </c>
      <c r="D110" s="2"/>
      <c r="E110" s="17">
        <v>551</v>
      </c>
      <c r="F110" s="16">
        <v>9173</v>
      </c>
      <c r="G110" s="16">
        <v>24060</v>
      </c>
      <c r="H110" s="16">
        <v>91615</v>
      </c>
      <c r="I110" s="16">
        <v>152907</v>
      </c>
      <c r="J110" s="16">
        <v>55324</v>
      </c>
    </row>
    <row r="111" spans="2:10" x14ac:dyDescent="0.2">
      <c r="C111" s="1" t="s">
        <v>111</v>
      </c>
      <c r="D111" s="2"/>
      <c r="E111" s="3">
        <v>539</v>
      </c>
      <c r="F111" s="20">
        <v>9179</v>
      </c>
      <c r="G111" s="20">
        <v>23789</v>
      </c>
      <c r="H111" s="20">
        <v>95966</v>
      </c>
      <c r="I111" s="20">
        <v>160250</v>
      </c>
      <c r="J111" s="20">
        <v>57559</v>
      </c>
    </row>
    <row r="112" spans="2:10" ht="18" thickBot="1" x14ac:dyDescent="0.25">
      <c r="B112" s="9"/>
      <c r="C112" s="9"/>
      <c r="D112" s="9"/>
      <c r="E112" s="19"/>
      <c r="F112" s="9"/>
      <c r="G112" s="9"/>
      <c r="H112" s="9"/>
      <c r="I112" s="9"/>
      <c r="J112" s="9"/>
    </row>
    <row r="113" spans="2:10" x14ac:dyDescent="0.2">
      <c r="E113" s="14"/>
      <c r="F113" s="11"/>
      <c r="G113" s="11"/>
      <c r="H113" s="11"/>
      <c r="I113" s="11"/>
      <c r="J113" s="11"/>
    </row>
    <row r="114" spans="2:10" x14ac:dyDescent="0.2">
      <c r="E114" s="25"/>
      <c r="F114" s="24" t="s">
        <v>113</v>
      </c>
      <c r="G114" s="13"/>
      <c r="H114" s="13"/>
      <c r="I114" s="13"/>
      <c r="J114" s="13"/>
    </row>
    <row r="115" spans="2:10" x14ac:dyDescent="0.2">
      <c r="E115" s="14"/>
      <c r="F115" s="14"/>
      <c r="G115" s="14"/>
      <c r="H115" s="12" t="s">
        <v>76</v>
      </c>
      <c r="I115" s="12" t="s">
        <v>75</v>
      </c>
      <c r="J115" s="12" t="s">
        <v>74</v>
      </c>
    </row>
    <row r="116" spans="2:10" x14ac:dyDescent="0.2">
      <c r="B116" s="13"/>
      <c r="C116" s="13"/>
      <c r="D116" s="13"/>
      <c r="E116" s="15" t="s">
        <v>73</v>
      </c>
      <c r="F116" s="15" t="s">
        <v>72</v>
      </c>
      <c r="G116" s="15" t="s">
        <v>71</v>
      </c>
      <c r="H116" s="23" t="s">
        <v>70</v>
      </c>
      <c r="I116" s="23" t="s">
        <v>69</v>
      </c>
      <c r="J116" s="23" t="s">
        <v>68</v>
      </c>
    </row>
    <row r="117" spans="2:10" x14ac:dyDescent="0.2">
      <c r="E117" s="14"/>
      <c r="F117" s="22" t="s">
        <v>67</v>
      </c>
      <c r="G117" s="22" t="s">
        <v>66</v>
      </c>
      <c r="H117" s="22" t="s">
        <v>66</v>
      </c>
      <c r="I117" s="22" t="s">
        <v>66</v>
      </c>
      <c r="J117" s="22" t="s">
        <v>66</v>
      </c>
    </row>
    <row r="118" spans="2:10" x14ac:dyDescent="0.2">
      <c r="C118" s="5" t="s">
        <v>65</v>
      </c>
      <c r="E118" s="26" t="s">
        <v>101</v>
      </c>
      <c r="F118" s="21" t="s">
        <v>112</v>
      </c>
      <c r="G118" s="21" t="s">
        <v>112</v>
      </c>
      <c r="H118" s="21" t="s">
        <v>112</v>
      </c>
      <c r="I118" s="21" t="s">
        <v>112</v>
      </c>
      <c r="J118" s="21" t="s">
        <v>112</v>
      </c>
    </row>
    <row r="119" spans="2:10" x14ac:dyDescent="0.2">
      <c r="C119" s="5" t="s">
        <v>64</v>
      </c>
      <c r="E119" s="26" t="s">
        <v>101</v>
      </c>
      <c r="F119" s="21" t="s">
        <v>112</v>
      </c>
      <c r="G119" s="21" t="s">
        <v>112</v>
      </c>
      <c r="H119" s="21" t="s">
        <v>112</v>
      </c>
      <c r="I119" s="21" t="s">
        <v>112</v>
      </c>
      <c r="J119" s="21" t="s">
        <v>112</v>
      </c>
    </row>
    <row r="120" spans="2:10" x14ac:dyDescent="0.2">
      <c r="C120" s="5" t="s">
        <v>63</v>
      </c>
      <c r="E120" s="26" t="s">
        <v>101</v>
      </c>
      <c r="F120" s="21" t="s">
        <v>112</v>
      </c>
      <c r="G120" s="21" t="s">
        <v>112</v>
      </c>
      <c r="H120" s="21" t="s">
        <v>112</v>
      </c>
      <c r="I120" s="21" t="s">
        <v>112</v>
      </c>
      <c r="J120" s="21" t="s">
        <v>112</v>
      </c>
    </row>
    <row r="121" spans="2:10" x14ac:dyDescent="0.2">
      <c r="C121" s="5" t="s">
        <v>62</v>
      </c>
      <c r="E121" s="26" t="s">
        <v>101</v>
      </c>
      <c r="F121" s="21" t="s">
        <v>112</v>
      </c>
      <c r="G121" s="21" t="s">
        <v>112</v>
      </c>
      <c r="H121" s="21" t="s">
        <v>112</v>
      </c>
      <c r="I121" s="21" t="s">
        <v>112</v>
      </c>
      <c r="J121" s="21" t="s">
        <v>112</v>
      </c>
    </row>
    <row r="122" spans="2:10" x14ac:dyDescent="0.2">
      <c r="E122" s="14"/>
    </row>
    <row r="123" spans="2:10" x14ac:dyDescent="0.2">
      <c r="C123" s="5" t="s">
        <v>61</v>
      </c>
      <c r="E123" s="26" t="s">
        <v>101</v>
      </c>
      <c r="F123" s="21" t="s">
        <v>112</v>
      </c>
      <c r="G123" s="21" t="s">
        <v>112</v>
      </c>
      <c r="H123" s="21" t="s">
        <v>112</v>
      </c>
      <c r="I123" s="21" t="s">
        <v>112</v>
      </c>
      <c r="J123" s="21" t="s">
        <v>112</v>
      </c>
    </row>
    <row r="124" spans="2:10" x14ac:dyDescent="0.2">
      <c r="C124" s="5" t="s">
        <v>60</v>
      </c>
      <c r="E124" s="26" t="s">
        <v>101</v>
      </c>
      <c r="F124" s="21" t="s">
        <v>112</v>
      </c>
      <c r="G124" s="21" t="s">
        <v>112</v>
      </c>
      <c r="H124" s="21" t="s">
        <v>112</v>
      </c>
      <c r="I124" s="21" t="s">
        <v>112</v>
      </c>
      <c r="J124" s="21" t="s">
        <v>112</v>
      </c>
    </row>
    <row r="125" spans="2:10" x14ac:dyDescent="0.2">
      <c r="C125" s="5" t="s">
        <v>59</v>
      </c>
      <c r="E125" s="17">
        <v>60</v>
      </c>
      <c r="F125" s="16">
        <v>1551</v>
      </c>
      <c r="G125" s="16">
        <f>4724+0.3</f>
        <v>4724.3</v>
      </c>
      <c r="H125" s="16">
        <v>28440</v>
      </c>
      <c r="I125" s="16">
        <f>75550-0.4</f>
        <v>75549.600000000006</v>
      </c>
      <c r="J125" s="16">
        <v>20637</v>
      </c>
    </row>
    <row r="126" spans="2:10" x14ac:dyDescent="0.2">
      <c r="C126" s="5" t="s">
        <v>58</v>
      </c>
      <c r="E126" s="17">
        <v>57</v>
      </c>
      <c r="F126" s="16">
        <v>1517</v>
      </c>
      <c r="G126" s="16">
        <f>5318-0.3</f>
        <v>5317.7</v>
      </c>
      <c r="H126" s="16">
        <f>41226+0.3</f>
        <v>41226.300000000003</v>
      </c>
      <c r="I126" s="16">
        <f>81858-0.3</f>
        <v>81857.7</v>
      </c>
      <c r="J126" s="16">
        <f>12463-0.3</f>
        <v>12462.7</v>
      </c>
    </row>
    <row r="127" spans="2:10" x14ac:dyDescent="0.2">
      <c r="E127" s="14"/>
    </row>
    <row r="128" spans="2:10" x14ac:dyDescent="0.2">
      <c r="C128" s="5" t="s">
        <v>57</v>
      </c>
      <c r="E128" s="17">
        <v>59</v>
      </c>
      <c r="F128" s="16">
        <v>1587</v>
      </c>
      <c r="G128" s="16">
        <v>5479</v>
      </c>
      <c r="H128" s="16">
        <f>36702-0.3</f>
        <v>36701.699999999997</v>
      </c>
      <c r="I128" s="16">
        <f>78313+0.3</f>
        <v>78313.3</v>
      </c>
      <c r="J128" s="16">
        <f>14073+0.3</f>
        <v>14073.3</v>
      </c>
    </row>
    <row r="129" spans="2:10" x14ac:dyDescent="0.2">
      <c r="C129" s="5" t="s">
        <v>56</v>
      </c>
      <c r="E129" s="17">
        <v>62</v>
      </c>
      <c r="F129" s="16">
        <v>1545</v>
      </c>
      <c r="G129" s="16">
        <v>5820</v>
      </c>
      <c r="H129" s="16">
        <v>39862</v>
      </c>
      <c r="I129" s="16">
        <f>74127+0.3</f>
        <v>74127.3</v>
      </c>
      <c r="J129" s="16">
        <v>10202</v>
      </c>
    </row>
    <row r="130" spans="2:10" x14ac:dyDescent="0.2">
      <c r="C130" s="5" t="s">
        <v>55</v>
      </c>
      <c r="E130" s="17">
        <v>59</v>
      </c>
      <c r="F130" s="16">
        <v>1464</v>
      </c>
      <c r="G130" s="16">
        <f>5441+0.3</f>
        <v>5441.3</v>
      </c>
      <c r="H130" s="16">
        <f>33490-0.4</f>
        <v>33489.599999999999</v>
      </c>
      <c r="I130" s="16">
        <f>77282-0.3</f>
        <v>77281.7</v>
      </c>
      <c r="J130" s="16">
        <f>16438-0.3</f>
        <v>16437.7</v>
      </c>
    </row>
    <row r="131" spans="2:10" x14ac:dyDescent="0.2">
      <c r="C131" s="5" t="s">
        <v>54</v>
      </c>
      <c r="E131" s="17">
        <v>58</v>
      </c>
      <c r="F131" s="16">
        <v>1404</v>
      </c>
      <c r="G131" s="16">
        <f>6082+0.3</f>
        <v>6082.3</v>
      </c>
      <c r="H131" s="16">
        <v>38231</v>
      </c>
      <c r="I131" s="16">
        <f>113457-0.4</f>
        <v>113456.6</v>
      </c>
      <c r="J131" s="16">
        <v>19571</v>
      </c>
    </row>
    <row r="132" spans="2:10" x14ac:dyDescent="0.2">
      <c r="E132" s="14"/>
    </row>
    <row r="133" spans="2:10" x14ac:dyDescent="0.2">
      <c r="C133" s="5" t="s">
        <v>53</v>
      </c>
      <c r="E133" s="17">
        <v>52</v>
      </c>
      <c r="F133" s="16">
        <v>1275</v>
      </c>
      <c r="G133" s="16">
        <f>5176-0.3</f>
        <v>5175.7</v>
      </c>
      <c r="H133" s="16">
        <f>41799+0.3</f>
        <v>41799.300000000003</v>
      </c>
      <c r="I133" s="16">
        <f>110453+0.2</f>
        <v>110453.2</v>
      </c>
      <c r="J133" s="16">
        <f>17084+0.3</f>
        <v>17084.3</v>
      </c>
    </row>
    <row r="134" spans="2:10" x14ac:dyDescent="0.2">
      <c r="C134" s="5" t="s">
        <v>52</v>
      </c>
      <c r="E134" s="17">
        <v>53</v>
      </c>
      <c r="F134" s="16">
        <v>1329</v>
      </c>
      <c r="G134" s="16">
        <v>5647</v>
      </c>
      <c r="H134" s="16">
        <f>43799-0.4</f>
        <v>43798.6</v>
      </c>
      <c r="I134" s="16">
        <f>146037-0.4</f>
        <v>146036.6</v>
      </c>
      <c r="J134" s="16">
        <f>23034-0.3</f>
        <v>23033.7</v>
      </c>
    </row>
    <row r="135" spans="2:10" x14ac:dyDescent="0.2">
      <c r="C135" s="5" t="s">
        <v>51</v>
      </c>
      <c r="E135" s="17">
        <v>47</v>
      </c>
      <c r="F135" s="16">
        <v>1362</v>
      </c>
      <c r="G135" s="16">
        <f>6020+0.4</f>
        <v>6020.4</v>
      </c>
      <c r="H135" s="16">
        <f>43776-0.1</f>
        <v>43775.9</v>
      </c>
      <c r="I135" s="16">
        <v>143774</v>
      </c>
      <c r="J135" s="16">
        <f>20061+0.1</f>
        <v>20061.099999999999</v>
      </c>
    </row>
    <row r="136" spans="2:10" x14ac:dyDescent="0.2">
      <c r="C136" s="5" t="s">
        <v>50</v>
      </c>
      <c r="E136" s="17">
        <v>41</v>
      </c>
      <c r="F136" s="16">
        <v>1311</v>
      </c>
      <c r="G136" s="16">
        <f>6017+0.4</f>
        <v>6017.4</v>
      </c>
      <c r="H136" s="16">
        <v>49752</v>
      </c>
      <c r="I136" s="16">
        <f>146495+0.4</f>
        <v>146495.4</v>
      </c>
      <c r="J136" s="16">
        <f>20616-0.2</f>
        <v>20615.8</v>
      </c>
    </row>
    <row r="137" spans="2:10" x14ac:dyDescent="0.2">
      <c r="E137" s="14"/>
    </row>
    <row r="138" spans="2:10" x14ac:dyDescent="0.2">
      <c r="C138" s="5" t="s">
        <v>49</v>
      </c>
      <c r="E138" s="17">
        <v>46</v>
      </c>
      <c r="F138" s="16">
        <v>1314</v>
      </c>
      <c r="G138" s="16">
        <v>6441.2</v>
      </c>
      <c r="H138" s="16">
        <v>50122.8</v>
      </c>
      <c r="I138" s="16">
        <f>141794-0.4</f>
        <v>141793.60000000001</v>
      </c>
      <c r="J138" s="16">
        <v>29172</v>
      </c>
    </row>
    <row r="139" spans="2:10" x14ac:dyDescent="0.2">
      <c r="C139" s="5" t="s">
        <v>48</v>
      </c>
      <c r="E139" s="17">
        <v>43</v>
      </c>
      <c r="F139" s="16">
        <v>1348</v>
      </c>
      <c r="G139" s="16">
        <v>6493</v>
      </c>
      <c r="H139" s="16">
        <v>51449</v>
      </c>
      <c r="I139" s="16">
        <v>147351.5</v>
      </c>
      <c r="J139" s="16">
        <v>31829.4</v>
      </c>
    </row>
    <row r="140" spans="2:10" x14ac:dyDescent="0.2">
      <c r="C140" s="5" t="s">
        <v>47</v>
      </c>
      <c r="E140" s="17">
        <v>42</v>
      </c>
      <c r="F140" s="16">
        <v>1341</v>
      </c>
      <c r="G140" s="16">
        <v>6278</v>
      </c>
      <c r="H140" s="16">
        <v>51342</v>
      </c>
      <c r="I140" s="16">
        <v>149680</v>
      </c>
      <c r="J140" s="16">
        <v>32381</v>
      </c>
    </row>
    <row r="141" spans="2:10" x14ac:dyDescent="0.2">
      <c r="C141" s="5" t="s">
        <v>45</v>
      </c>
      <c r="D141" s="2"/>
      <c r="E141" s="17">
        <v>46</v>
      </c>
      <c r="F141" s="16">
        <v>1395</v>
      </c>
      <c r="G141" s="16">
        <v>6918</v>
      </c>
      <c r="H141" s="16">
        <v>54936</v>
      </c>
      <c r="I141" s="16">
        <v>157184</v>
      </c>
      <c r="J141" s="16">
        <v>34186</v>
      </c>
    </row>
    <row r="142" spans="2:10" x14ac:dyDescent="0.2">
      <c r="C142" s="1" t="s">
        <v>111</v>
      </c>
      <c r="D142" s="2"/>
      <c r="E142" s="3">
        <v>43</v>
      </c>
      <c r="F142" s="20">
        <v>1358</v>
      </c>
      <c r="G142" s="20">
        <v>6443</v>
      </c>
      <c r="H142" s="20">
        <v>49008</v>
      </c>
      <c r="I142" s="20">
        <v>159029</v>
      </c>
      <c r="J142" s="20">
        <v>43964</v>
      </c>
    </row>
    <row r="143" spans="2:10" ht="18" thickBot="1" x14ac:dyDescent="0.25">
      <c r="B143" s="9"/>
      <c r="C143" s="9"/>
      <c r="D143" s="9"/>
      <c r="E143" s="19"/>
      <c r="F143" s="9"/>
      <c r="G143" s="9"/>
      <c r="H143" s="9"/>
      <c r="I143" s="9"/>
      <c r="J143" s="9"/>
    </row>
    <row r="144" spans="2:10" x14ac:dyDescent="0.2">
      <c r="D144" s="5" t="s">
        <v>43</v>
      </c>
      <c r="E144" s="5"/>
      <c r="H144" s="5" t="s">
        <v>42</v>
      </c>
    </row>
    <row r="145" spans="1:10" x14ac:dyDescent="0.2">
      <c r="H145" s="5" t="s">
        <v>41</v>
      </c>
    </row>
    <row r="146" spans="1:10" x14ac:dyDescent="0.2">
      <c r="A146" s="5"/>
    </row>
    <row r="147" spans="1:10" x14ac:dyDescent="0.2">
      <c r="A147" s="5"/>
    </row>
    <row r="152" spans="1:10" x14ac:dyDescent="0.2">
      <c r="C152" s="2"/>
      <c r="D152" s="2"/>
      <c r="E152" s="2"/>
      <c r="F152" s="1" t="s">
        <v>81</v>
      </c>
    </row>
    <row r="153" spans="1:10" x14ac:dyDescent="0.2">
      <c r="F153" s="5" t="s">
        <v>80</v>
      </c>
    </row>
    <row r="154" spans="1:10" ht="18" thickBot="1" x14ac:dyDescent="0.25">
      <c r="B154" s="9"/>
      <c r="C154" s="9"/>
      <c r="D154" s="9"/>
      <c r="E154" s="9"/>
      <c r="F154" s="10" t="s">
        <v>79</v>
      </c>
      <c r="G154" s="9"/>
      <c r="H154" s="9"/>
      <c r="I154" s="9"/>
      <c r="J154" s="9"/>
    </row>
    <row r="155" spans="1:10" x14ac:dyDescent="0.2">
      <c r="E155" s="14"/>
      <c r="F155" s="11"/>
      <c r="G155" s="11"/>
      <c r="H155" s="11"/>
      <c r="I155" s="11"/>
      <c r="J155" s="11"/>
    </row>
    <row r="156" spans="1:10" x14ac:dyDescent="0.2">
      <c r="E156" s="25"/>
      <c r="F156" s="13"/>
      <c r="G156" s="24" t="s">
        <v>110</v>
      </c>
      <c r="H156" s="13"/>
      <c r="I156" s="13"/>
      <c r="J156" s="13"/>
    </row>
    <row r="157" spans="1:10" x14ac:dyDescent="0.2">
      <c r="E157" s="14"/>
      <c r="F157" s="14"/>
      <c r="G157" s="14"/>
      <c r="H157" s="12" t="s">
        <v>76</v>
      </c>
      <c r="I157" s="12" t="s">
        <v>75</v>
      </c>
      <c r="J157" s="12" t="s">
        <v>74</v>
      </c>
    </row>
    <row r="158" spans="1:10" x14ac:dyDescent="0.2">
      <c r="B158" s="13"/>
      <c r="C158" s="13"/>
      <c r="D158" s="13"/>
      <c r="E158" s="15" t="s">
        <v>73</v>
      </c>
      <c r="F158" s="15" t="s">
        <v>72</v>
      </c>
      <c r="G158" s="15" t="s">
        <v>71</v>
      </c>
      <c r="H158" s="23" t="s">
        <v>70</v>
      </c>
      <c r="I158" s="23" t="s">
        <v>69</v>
      </c>
      <c r="J158" s="23" t="s">
        <v>68</v>
      </c>
    </row>
    <row r="159" spans="1:10" x14ac:dyDescent="0.2">
      <c r="E159" s="14"/>
      <c r="F159" s="22" t="s">
        <v>67</v>
      </c>
      <c r="G159" s="22" t="s">
        <v>66</v>
      </c>
      <c r="H159" s="22" t="s">
        <v>66</v>
      </c>
      <c r="I159" s="22" t="s">
        <v>66</v>
      </c>
      <c r="J159" s="22" t="s">
        <v>66</v>
      </c>
    </row>
    <row r="160" spans="1:10" x14ac:dyDescent="0.2">
      <c r="C160" s="5" t="s">
        <v>65</v>
      </c>
      <c r="E160" s="17">
        <v>1550</v>
      </c>
      <c r="F160" s="16">
        <v>14862</v>
      </c>
      <c r="G160" s="16">
        <f>27401+0.4</f>
        <v>27401.4</v>
      </c>
      <c r="H160" s="16">
        <f>140374+0.4</f>
        <v>140374.39999999999</v>
      </c>
      <c r="I160" s="16">
        <f>208992+0.4</f>
        <v>208992.4</v>
      </c>
      <c r="J160" s="16">
        <f>65634+0.4</f>
        <v>65634.399999999994</v>
      </c>
    </row>
    <row r="161" spans="3:10" x14ac:dyDescent="0.2">
      <c r="C161" s="5" t="s">
        <v>64</v>
      </c>
      <c r="E161" s="17">
        <v>1471</v>
      </c>
      <c r="F161" s="16">
        <v>14189</v>
      </c>
      <c r="G161" s="16">
        <f>26907+0.3</f>
        <v>26907.3</v>
      </c>
      <c r="H161" s="16">
        <f>141388-0.3</f>
        <v>141387.70000000001</v>
      </c>
      <c r="I161" s="16">
        <f>209098-0.4</f>
        <v>209097.60000000001</v>
      </c>
      <c r="J161" s="16">
        <f>64570+0.3</f>
        <v>64570.3</v>
      </c>
    </row>
    <row r="162" spans="3:10" x14ac:dyDescent="0.2">
      <c r="C162" s="5" t="s">
        <v>63</v>
      </c>
      <c r="E162" s="17">
        <v>816</v>
      </c>
      <c r="F162" s="16">
        <v>13053</v>
      </c>
      <c r="G162" s="16">
        <f>29303+0.3</f>
        <v>29303.3</v>
      </c>
      <c r="H162" s="16">
        <f>153002-0.4</f>
        <v>153001.60000000001</v>
      </c>
      <c r="I162" s="16">
        <f>229970-0.3</f>
        <v>229969.7</v>
      </c>
      <c r="J162" s="16">
        <v>72861</v>
      </c>
    </row>
    <row r="163" spans="3:10" x14ac:dyDescent="0.2">
      <c r="C163" s="5" t="s">
        <v>62</v>
      </c>
      <c r="E163" s="17">
        <v>789</v>
      </c>
      <c r="F163" s="16">
        <v>12732</v>
      </c>
      <c r="G163" s="16">
        <f>30235+0.3</f>
        <v>30235.3</v>
      </c>
      <c r="H163" s="16">
        <v>159441</v>
      </c>
      <c r="I163" s="16">
        <f>235514+0.4</f>
        <v>235514.4</v>
      </c>
      <c r="J163" s="16">
        <v>73162</v>
      </c>
    </row>
    <row r="164" spans="3:10" x14ac:dyDescent="0.2">
      <c r="E164" s="14"/>
    </row>
    <row r="165" spans="3:10" x14ac:dyDescent="0.2">
      <c r="C165" s="5" t="s">
        <v>61</v>
      </c>
      <c r="E165" s="17">
        <v>752</v>
      </c>
      <c r="F165" s="16">
        <v>12404</v>
      </c>
      <c r="G165" s="16">
        <f>29922-0.4</f>
        <v>29921.599999999999</v>
      </c>
      <c r="H165" s="16">
        <f>150979-0.4</f>
        <v>150978.6</v>
      </c>
      <c r="I165" s="16">
        <v>221870</v>
      </c>
      <c r="J165" s="16">
        <f>67052-0.4</f>
        <v>67051.600000000006</v>
      </c>
    </row>
    <row r="166" spans="3:10" x14ac:dyDescent="0.2">
      <c r="C166" s="5" t="s">
        <v>60</v>
      </c>
      <c r="E166" s="17">
        <v>711</v>
      </c>
      <c r="F166" s="16">
        <v>12045</v>
      </c>
      <c r="G166" s="16">
        <f>29470-0.3</f>
        <v>29469.7</v>
      </c>
      <c r="H166" s="16">
        <f>150288+0.3</f>
        <v>150288.29999999999</v>
      </c>
      <c r="I166" s="16">
        <f>226909+0.4</f>
        <v>226909.4</v>
      </c>
      <c r="J166" s="16">
        <v>73516</v>
      </c>
    </row>
    <row r="167" spans="3:10" x14ac:dyDescent="0.2">
      <c r="C167" s="5" t="s">
        <v>59</v>
      </c>
      <c r="E167" s="17">
        <v>751</v>
      </c>
      <c r="F167" s="16">
        <v>12537</v>
      </c>
      <c r="G167" s="16">
        <v>31804</v>
      </c>
      <c r="H167" s="16">
        <v>153036</v>
      </c>
      <c r="I167" s="16">
        <f>232903-0.4</f>
        <v>232902.6</v>
      </c>
      <c r="J167" s="16">
        <v>76595</v>
      </c>
    </row>
    <row r="168" spans="3:10" x14ac:dyDescent="0.2">
      <c r="C168" s="5" t="s">
        <v>58</v>
      </c>
      <c r="E168" s="17">
        <v>785</v>
      </c>
      <c r="F168" s="16">
        <v>12671</v>
      </c>
      <c r="G168" s="16">
        <v>31763</v>
      </c>
      <c r="H168" s="16">
        <v>144652</v>
      </c>
      <c r="I168" s="16">
        <v>224242</v>
      </c>
      <c r="J168" s="16">
        <v>75083</v>
      </c>
    </row>
    <row r="169" spans="3:10" x14ac:dyDescent="0.2">
      <c r="E169" s="14"/>
    </row>
    <row r="170" spans="3:10" x14ac:dyDescent="0.2">
      <c r="C170" s="5" t="s">
        <v>57</v>
      </c>
      <c r="E170" s="17">
        <v>765</v>
      </c>
      <c r="F170" s="16">
        <v>12624</v>
      </c>
      <c r="G170" s="16">
        <v>32964</v>
      </c>
      <c r="H170" s="16">
        <v>148685</v>
      </c>
      <c r="I170" s="16">
        <v>230497</v>
      </c>
      <c r="J170" s="16">
        <v>77586</v>
      </c>
    </row>
    <row r="171" spans="3:10" x14ac:dyDescent="0.2">
      <c r="C171" s="5" t="s">
        <v>56</v>
      </c>
      <c r="E171" s="17">
        <v>737</v>
      </c>
      <c r="F171" s="16">
        <v>12321</v>
      </c>
      <c r="G171" s="16">
        <v>33460</v>
      </c>
      <c r="H171" s="16">
        <v>143354</v>
      </c>
      <c r="I171" s="16">
        <v>223121</v>
      </c>
      <c r="J171" s="16">
        <v>75574</v>
      </c>
    </row>
    <row r="172" spans="3:10" x14ac:dyDescent="0.2">
      <c r="C172" s="5" t="s">
        <v>55</v>
      </c>
      <c r="E172" s="17">
        <v>732</v>
      </c>
      <c r="F172" s="16">
        <v>11885</v>
      </c>
      <c r="G172" s="16">
        <v>32999</v>
      </c>
      <c r="H172" s="16">
        <f>142505-0.4</f>
        <v>142504.6</v>
      </c>
      <c r="I172" s="16">
        <v>224847</v>
      </c>
      <c r="J172" s="16">
        <v>77637</v>
      </c>
    </row>
    <row r="173" spans="3:10" x14ac:dyDescent="0.2">
      <c r="C173" s="5" t="s">
        <v>54</v>
      </c>
      <c r="E173" s="17">
        <v>740</v>
      </c>
      <c r="F173" s="16">
        <v>11912</v>
      </c>
      <c r="G173" s="16">
        <v>34409</v>
      </c>
      <c r="H173" s="16">
        <v>150678</v>
      </c>
      <c r="I173" s="16">
        <f>244046-0.4</f>
        <v>244045.6</v>
      </c>
      <c r="J173" s="16">
        <v>86890</v>
      </c>
    </row>
    <row r="174" spans="3:10" x14ac:dyDescent="0.2">
      <c r="E174" s="14"/>
    </row>
    <row r="175" spans="3:10" x14ac:dyDescent="0.2">
      <c r="C175" s="5" t="s">
        <v>53</v>
      </c>
      <c r="E175" s="17">
        <v>730</v>
      </c>
      <c r="F175" s="16">
        <v>11895</v>
      </c>
      <c r="G175" s="16">
        <v>36284</v>
      </c>
      <c r="H175" s="16">
        <v>161994</v>
      </c>
      <c r="I175" s="16">
        <v>255718</v>
      </c>
      <c r="J175" s="16">
        <v>86948</v>
      </c>
    </row>
    <row r="176" spans="3:10" x14ac:dyDescent="0.2">
      <c r="C176" s="5" t="s">
        <v>52</v>
      </c>
      <c r="E176" s="17">
        <v>704</v>
      </c>
      <c r="F176" s="16">
        <v>11389</v>
      </c>
      <c r="G176" s="16">
        <v>35326</v>
      </c>
      <c r="H176" s="16">
        <v>145972</v>
      </c>
      <c r="I176" s="16">
        <f>231600-0.4</f>
        <v>231599.6</v>
      </c>
      <c r="J176" s="16">
        <v>79322</v>
      </c>
    </row>
    <row r="177" spans="2:10" x14ac:dyDescent="0.2">
      <c r="C177" s="5" t="s">
        <v>51</v>
      </c>
      <c r="E177" s="17">
        <v>678</v>
      </c>
      <c r="F177" s="16">
        <v>10950</v>
      </c>
      <c r="G177" s="16">
        <f>34406+0.4</f>
        <v>34406.400000000001</v>
      </c>
      <c r="H177" s="16">
        <f>134570-0.2</f>
        <v>134569.79999999999</v>
      </c>
      <c r="I177" s="16">
        <f>215592-0.4</f>
        <v>215591.6</v>
      </c>
      <c r="J177" s="16">
        <f>73707+0.4</f>
        <v>73707.399999999994</v>
      </c>
    </row>
    <row r="178" spans="2:10" x14ac:dyDescent="0.2">
      <c r="C178" s="5" t="s">
        <v>50</v>
      </c>
      <c r="E178" s="17">
        <v>420</v>
      </c>
      <c r="F178" s="16">
        <v>7586</v>
      </c>
      <c r="G178" s="16">
        <f>28197+0.4</f>
        <v>28197.4</v>
      </c>
      <c r="H178" s="16">
        <v>102682</v>
      </c>
      <c r="I178" s="16">
        <v>168282</v>
      </c>
      <c r="J178" s="16">
        <v>59325</v>
      </c>
    </row>
    <row r="179" spans="2:10" x14ac:dyDescent="0.2">
      <c r="E179" s="14"/>
    </row>
    <row r="180" spans="2:10" x14ac:dyDescent="0.2">
      <c r="C180" s="5" t="s">
        <v>49</v>
      </c>
      <c r="E180" s="17">
        <v>382</v>
      </c>
      <c r="F180" s="16">
        <v>6889</v>
      </c>
      <c r="G180" s="16">
        <v>26284</v>
      </c>
      <c r="H180" s="16">
        <v>92282</v>
      </c>
      <c r="I180" s="16">
        <f>151064-0.4</f>
        <v>151063.6</v>
      </c>
      <c r="J180" s="16">
        <v>53838</v>
      </c>
    </row>
    <row r="181" spans="2:10" x14ac:dyDescent="0.2">
      <c r="C181" s="5" t="s">
        <v>48</v>
      </c>
      <c r="E181" s="17">
        <v>369</v>
      </c>
      <c r="F181" s="16">
        <v>6774</v>
      </c>
      <c r="G181" s="16">
        <v>25795</v>
      </c>
      <c r="H181" s="16">
        <v>90457</v>
      </c>
      <c r="I181" s="16">
        <v>147194</v>
      </c>
      <c r="J181" s="16">
        <v>52207</v>
      </c>
    </row>
    <row r="182" spans="2:10" x14ac:dyDescent="0.2">
      <c r="C182" s="5" t="s">
        <v>47</v>
      </c>
      <c r="E182" s="17">
        <v>354</v>
      </c>
      <c r="F182" s="16">
        <v>6723</v>
      </c>
      <c r="G182" s="16">
        <v>25752</v>
      </c>
      <c r="H182" s="16">
        <v>87912</v>
      </c>
      <c r="I182" s="16">
        <v>146744</v>
      </c>
      <c r="J182" s="16">
        <v>53997</v>
      </c>
    </row>
    <row r="183" spans="2:10" x14ac:dyDescent="0.2">
      <c r="C183" s="5" t="s">
        <v>45</v>
      </c>
      <c r="D183" s="2"/>
      <c r="E183" s="17">
        <v>347</v>
      </c>
      <c r="F183" s="16">
        <v>6316</v>
      </c>
      <c r="G183" s="16">
        <v>23979</v>
      </c>
      <c r="H183" s="16">
        <v>76348</v>
      </c>
      <c r="I183" s="16">
        <v>132461</v>
      </c>
      <c r="J183" s="16">
        <v>50791</v>
      </c>
    </row>
    <row r="184" spans="2:10" x14ac:dyDescent="0.2">
      <c r="C184" s="1" t="s">
        <v>44</v>
      </c>
      <c r="D184" s="2"/>
      <c r="E184" s="3">
        <v>332</v>
      </c>
      <c r="F184" s="20">
        <v>6006</v>
      </c>
      <c r="G184" s="20">
        <v>22857</v>
      </c>
      <c r="H184" s="20">
        <v>70847</v>
      </c>
      <c r="I184" s="20">
        <v>123754</v>
      </c>
      <c r="J184" s="20">
        <v>47921</v>
      </c>
    </row>
    <row r="185" spans="2:10" ht="18" thickBot="1" x14ac:dyDescent="0.25">
      <c r="B185" s="9"/>
      <c r="C185" s="9"/>
      <c r="D185" s="9"/>
      <c r="E185" s="19"/>
      <c r="F185" s="9"/>
      <c r="G185" s="9"/>
      <c r="H185" s="9"/>
      <c r="I185" s="9"/>
      <c r="J185" s="9"/>
    </row>
    <row r="186" spans="2:10" x14ac:dyDescent="0.2">
      <c r="E186" s="14"/>
      <c r="F186" s="11"/>
      <c r="G186" s="11"/>
      <c r="H186" s="11"/>
      <c r="I186" s="11"/>
      <c r="J186" s="11"/>
    </row>
    <row r="187" spans="2:10" x14ac:dyDescent="0.2">
      <c r="E187" s="25"/>
      <c r="F187" s="13"/>
      <c r="G187" s="24" t="s">
        <v>109</v>
      </c>
      <c r="H187" s="13"/>
      <c r="I187" s="13"/>
      <c r="J187" s="13"/>
    </row>
    <row r="188" spans="2:10" x14ac:dyDescent="0.2">
      <c r="E188" s="14"/>
      <c r="F188" s="14"/>
      <c r="G188" s="14"/>
      <c r="H188" s="12" t="s">
        <v>76</v>
      </c>
      <c r="I188" s="12" t="s">
        <v>75</v>
      </c>
      <c r="J188" s="12" t="s">
        <v>74</v>
      </c>
    </row>
    <row r="189" spans="2:10" x14ac:dyDescent="0.2">
      <c r="B189" s="13"/>
      <c r="C189" s="13"/>
      <c r="D189" s="13"/>
      <c r="E189" s="15" t="s">
        <v>73</v>
      </c>
      <c r="F189" s="15" t="s">
        <v>72</v>
      </c>
      <c r="G189" s="15" t="s">
        <v>71</v>
      </c>
      <c r="H189" s="23" t="s">
        <v>70</v>
      </c>
      <c r="I189" s="23" t="s">
        <v>69</v>
      </c>
      <c r="J189" s="23" t="s">
        <v>68</v>
      </c>
    </row>
    <row r="190" spans="2:10" x14ac:dyDescent="0.2">
      <c r="E190" s="14"/>
      <c r="F190" s="22" t="s">
        <v>67</v>
      </c>
      <c r="G190" s="22" t="s">
        <v>66</v>
      </c>
      <c r="H190" s="22" t="s">
        <v>66</v>
      </c>
      <c r="I190" s="22" t="s">
        <v>66</v>
      </c>
      <c r="J190" s="22" t="s">
        <v>66</v>
      </c>
    </row>
    <row r="191" spans="2:10" x14ac:dyDescent="0.2">
      <c r="C191" s="5" t="s">
        <v>65</v>
      </c>
      <c r="E191" s="17">
        <v>572</v>
      </c>
      <c r="F191" s="16">
        <v>6605</v>
      </c>
      <c r="G191" s="16">
        <f>7399+0.4</f>
        <v>7399.4</v>
      </c>
      <c r="H191" s="16">
        <f>22313+0.4</f>
        <v>22313.4</v>
      </c>
      <c r="I191" s="16">
        <f>38461+0.4</f>
        <v>38461.4</v>
      </c>
      <c r="J191" s="16">
        <f>15787+0.4</f>
        <v>15787.4</v>
      </c>
    </row>
    <row r="192" spans="2:10" x14ac:dyDescent="0.2">
      <c r="C192" s="5" t="s">
        <v>64</v>
      </c>
      <c r="E192" s="17">
        <v>588</v>
      </c>
      <c r="F192" s="16">
        <v>6605</v>
      </c>
      <c r="G192" s="16">
        <v>7532</v>
      </c>
      <c r="H192" s="16">
        <v>23399</v>
      </c>
      <c r="I192" s="16">
        <f>41355-0.4</f>
        <v>41354.6</v>
      </c>
      <c r="J192" s="16">
        <v>17802</v>
      </c>
    </row>
    <row r="193" spans="3:10" x14ac:dyDescent="0.2">
      <c r="C193" s="5" t="s">
        <v>63</v>
      </c>
      <c r="E193" s="17">
        <v>517</v>
      </c>
      <c r="F193" s="16">
        <v>6550</v>
      </c>
      <c r="G193" s="16">
        <v>8354</v>
      </c>
      <c r="H193" s="16">
        <f>22146-0.4</f>
        <v>22145.599999999999</v>
      </c>
      <c r="I193" s="16">
        <v>42266</v>
      </c>
      <c r="J193" s="16">
        <v>19639</v>
      </c>
    </row>
    <row r="194" spans="3:10" x14ac:dyDescent="0.2">
      <c r="C194" s="5" t="s">
        <v>62</v>
      </c>
      <c r="E194" s="17">
        <v>545</v>
      </c>
      <c r="F194" s="16">
        <v>6892</v>
      </c>
      <c r="G194" s="16">
        <v>8906</v>
      </c>
      <c r="H194" s="16">
        <v>27496</v>
      </c>
      <c r="I194" s="16">
        <f>47191+0.4</f>
        <v>47191.4</v>
      </c>
      <c r="J194" s="16">
        <v>19105</v>
      </c>
    </row>
    <row r="195" spans="3:10" x14ac:dyDescent="0.2">
      <c r="E195" s="14"/>
    </row>
    <row r="196" spans="3:10" x14ac:dyDescent="0.2">
      <c r="C196" s="5" t="s">
        <v>61</v>
      </c>
      <c r="E196" s="17">
        <v>540</v>
      </c>
      <c r="F196" s="16">
        <v>6600</v>
      </c>
      <c r="G196" s="16">
        <f>8994-0.4</f>
        <v>8993.6</v>
      </c>
      <c r="H196" s="16">
        <f>26066-0.4</f>
        <v>26065.599999999999</v>
      </c>
      <c r="I196" s="16">
        <v>45760</v>
      </c>
      <c r="J196" s="16">
        <f>19093-0.4</f>
        <v>19092.599999999999</v>
      </c>
    </row>
    <row r="197" spans="3:10" x14ac:dyDescent="0.2">
      <c r="C197" s="5" t="s">
        <v>60</v>
      </c>
      <c r="E197" s="17">
        <v>531</v>
      </c>
      <c r="F197" s="16">
        <v>6667</v>
      </c>
      <c r="G197" s="16">
        <v>9174</v>
      </c>
      <c r="H197" s="16">
        <v>26493</v>
      </c>
      <c r="I197" s="16">
        <f>46255+0.4</f>
        <v>46255.4</v>
      </c>
      <c r="J197" s="16">
        <f>19050-0.3</f>
        <v>19049.7</v>
      </c>
    </row>
    <row r="198" spans="3:10" x14ac:dyDescent="0.2">
      <c r="C198" s="5" t="s">
        <v>59</v>
      </c>
      <c r="E198" s="17">
        <v>477</v>
      </c>
      <c r="F198" s="16">
        <v>5833</v>
      </c>
      <c r="G198" s="16">
        <v>8565</v>
      </c>
      <c r="H198" s="16">
        <v>25735</v>
      </c>
      <c r="I198" s="16">
        <f>44404-0.4</f>
        <v>44403.6</v>
      </c>
      <c r="J198" s="16">
        <v>18352</v>
      </c>
    </row>
    <row r="199" spans="3:10" x14ac:dyDescent="0.2">
      <c r="C199" s="5" t="s">
        <v>58</v>
      </c>
      <c r="E199" s="17">
        <v>463</v>
      </c>
      <c r="F199" s="16">
        <v>5794</v>
      </c>
      <c r="G199" s="16">
        <v>8816</v>
      </c>
      <c r="H199" s="16">
        <v>23951</v>
      </c>
      <c r="I199" s="16">
        <v>43191</v>
      </c>
      <c r="J199" s="16">
        <v>19079</v>
      </c>
    </row>
    <row r="200" spans="3:10" x14ac:dyDescent="0.2">
      <c r="E200" s="14"/>
    </row>
    <row r="201" spans="3:10" x14ac:dyDescent="0.2">
      <c r="C201" s="5" t="s">
        <v>57</v>
      </c>
      <c r="E201" s="17">
        <v>441</v>
      </c>
      <c r="F201" s="16">
        <v>5665</v>
      </c>
      <c r="G201" s="16">
        <v>8652</v>
      </c>
      <c r="H201" s="16">
        <v>20073</v>
      </c>
      <c r="I201" s="16">
        <v>39095</v>
      </c>
      <c r="J201" s="16">
        <v>18614</v>
      </c>
    </row>
    <row r="202" spans="3:10" x14ac:dyDescent="0.2">
      <c r="C202" s="5" t="s">
        <v>56</v>
      </c>
      <c r="E202" s="17">
        <v>461</v>
      </c>
      <c r="F202" s="16">
        <v>5638</v>
      </c>
      <c r="G202" s="16">
        <v>8626</v>
      </c>
      <c r="H202" s="16">
        <v>21423</v>
      </c>
      <c r="I202" s="16">
        <v>40136</v>
      </c>
      <c r="J202" s="16">
        <v>17899</v>
      </c>
    </row>
    <row r="203" spans="3:10" x14ac:dyDescent="0.2">
      <c r="C203" s="5" t="s">
        <v>55</v>
      </c>
      <c r="E203" s="17">
        <v>430</v>
      </c>
      <c r="F203" s="16">
        <v>5259</v>
      </c>
      <c r="G203" s="16">
        <v>8618</v>
      </c>
      <c r="H203" s="16">
        <f>21632-0.4</f>
        <v>21631.599999999999</v>
      </c>
      <c r="I203" s="16">
        <v>41334</v>
      </c>
      <c r="J203" s="16">
        <v>19051</v>
      </c>
    </row>
    <row r="204" spans="3:10" x14ac:dyDescent="0.2">
      <c r="C204" s="5" t="s">
        <v>54</v>
      </c>
      <c r="E204" s="17">
        <v>418</v>
      </c>
      <c r="F204" s="16">
        <v>4968</v>
      </c>
      <c r="G204" s="16">
        <v>8323</v>
      </c>
      <c r="H204" s="16">
        <v>19919</v>
      </c>
      <c r="I204" s="16">
        <f>39369-0.4</f>
        <v>39368.6</v>
      </c>
      <c r="J204" s="16">
        <v>18771</v>
      </c>
    </row>
    <row r="205" spans="3:10" x14ac:dyDescent="0.2">
      <c r="E205" s="14"/>
    </row>
    <row r="206" spans="3:10" x14ac:dyDescent="0.2">
      <c r="C206" s="5" t="s">
        <v>53</v>
      </c>
      <c r="E206" s="17">
        <v>425</v>
      </c>
      <c r="F206" s="16">
        <v>4895</v>
      </c>
      <c r="G206" s="16">
        <v>8620</v>
      </c>
      <c r="H206" s="16">
        <v>20618</v>
      </c>
      <c r="I206" s="16">
        <v>40224</v>
      </c>
      <c r="J206" s="16">
        <v>18821</v>
      </c>
    </row>
    <row r="207" spans="3:10" x14ac:dyDescent="0.2">
      <c r="C207" s="5" t="s">
        <v>52</v>
      </c>
      <c r="E207" s="17">
        <v>406</v>
      </c>
      <c r="F207" s="16">
        <v>4721</v>
      </c>
      <c r="G207" s="16">
        <v>8926</v>
      </c>
      <c r="H207" s="16">
        <v>21043</v>
      </c>
      <c r="I207" s="16">
        <f>41091-0.2</f>
        <v>41090.800000000003</v>
      </c>
      <c r="J207" s="16">
        <v>19565</v>
      </c>
    </row>
    <row r="208" spans="3:10" x14ac:dyDescent="0.2">
      <c r="C208" s="5" t="s">
        <v>51</v>
      </c>
      <c r="E208" s="17">
        <v>377</v>
      </c>
      <c r="F208" s="16">
        <v>4315</v>
      </c>
      <c r="G208" s="16">
        <f>8136+0.4</f>
        <v>8136.4</v>
      </c>
      <c r="H208" s="16">
        <v>16227</v>
      </c>
      <c r="I208" s="16">
        <v>32493</v>
      </c>
      <c r="J208" s="16">
        <f>15283+0.1</f>
        <v>15283.1</v>
      </c>
    </row>
    <row r="209" spans="1:10" x14ac:dyDescent="0.2">
      <c r="C209" s="5" t="s">
        <v>50</v>
      </c>
      <c r="E209" s="17">
        <v>570</v>
      </c>
      <c r="F209" s="16">
        <v>6607</v>
      </c>
      <c r="G209" s="16">
        <f>12594+0.4</f>
        <v>12594.4</v>
      </c>
      <c r="H209" s="16">
        <v>32888</v>
      </c>
      <c r="I209" s="16">
        <v>59044</v>
      </c>
      <c r="J209" s="16">
        <v>24996</v>
      </c>
    </row>
    <row r="210" spans="1:10" x14ac:dyDescent="0.2">
      <c r="E210" s="14"/>
    </row>
    <row r="211" spans="1:10" x14ac:dyDescent="0.2">
      <c r="C211" s="5" t="s">
        <v>49</v>
      </c>
      <c r="E211" s="17">
        <v>549</v>
      </c>
      <c r="F211" s="16">
        <v>6519</v>
      </c>
      <c r="G211" s="16">
        <v>13161</v>
      </c>
      <c r="H211" s="16">
        <v>34232</v>
      </c>
      <c r="I211" s="16">
        <f>59843-0.4</f>
        <v>59842.6</v>
      </c>
      <c r="J211" s="16">
        <v>24302</v>
      </c>
    </row>
    <row r="212" spans="1:10" x14ac:dyDescent="0.2">
      <c r="C212" s="5" t="s">
        <v>48</v>
      </c>
      <c r="E212" s="17">
        <v>517</v>
      </c>
      <c r="F212" s="16">
        <v>5802</v>
      </c>
      <c r="G212" s="16">
        <v>11382</v>
      </c>
      <c r="H212" s="16">
        <v>26567</v>
      </c>
      <c r="I212" s="16">
        <v>48952</v>
      </c>
      <c r="J212" s="16">
        <v>21358</v>
      </c>
    </row>
    <row r="213" spans="1:10" x14ac:dyDescent="0.2">
      <c r="C213" s="5" t="s">
        <v>47</v>
      </c>
      <c r="E213" s="17">
        <v>468</v>
      </c>
      <c r="F213" s="16">
        <v>5412</v>
      </c>
      <c r="G213" s="16">
        <v>10645</v>
      </c>
      <c r="H213" s="16">
        <v>26095</v>
      </c>
      <c r="I213" s="16">
        <v>52298</v>
      </c>
      <c r="J213" s="16">
        <v>25216</v>
      </c>
    </row>
    <row r="214" spans="1:10" x14ac:dyDescent="0.2">
      <c r="C214" s="5" t="s">
        <v>45</v>
      </c>
      <c r="D214" s="2"/>
      <c r="E214" s="17">
        <v>476</v>
      </c>
      <c r="F214" s="16">
        <v>4966</v>
      </c>
      <c r="G214" s="16">
        <v>9601</v>
      </c>
      <c r="H214" s="16">
        <v>21769</v>
      </c>
      <c r="I214" s="16">
        <v>41756</v>
      </c>
      <c r="J214" s="16">
        <v>18782</v>
      </c>
    </row>
    <row r="215" spans="1:10" x14ac:dyDescent="0.2">
      <c r="C215" s="1" t="s">
        <v>44</v>
      </c>
      <c r="D215" s="2"/>
      <c r="E215" s="3">
        <v>409</v>
      </c>
      <c r="F215" s="20">
        <v>4239</v>
      </c>
      <c r="G215" s="20">
        <v>8071</v>
      </c>
      <c r="H215" s="20">
        <v>17923</v>
      </c>
      <c r="I215" s="20">
        <v>34245</v>
      </c>
      <c r="J215" s="20">
        <v>14913</v>
      </c>
    </row>
    <row r="216" spans="1:10" ht="18" thickBot="1" x14ac:dyDescent="0.25">
      <c r="B216" s="9"/>
      <c r="C216" s="9"/>
      <c r="D216" s="9"/>
      <c r="E216" s="19"/>
      <c r="F216" s="9"/>
      <c r="G216" s="9"/>
      <c r="H216" s="9"/>
      <c r="I216" s="9"/>
      <c r="J216" s="9"/>
    </row>
    <row r="217" spans="1:10" x14ac:dyDescent="0.2">
      <c r="D217" s="5" t="s">
        <v>43</v>
      </c>
      <c r="E217" s="5"/>
      <c r="H217" s="5" t="s">
        <v>42</v>
      </c>
    </row>
    <row r="218" spans="1:10" x14ac:dyDescent="0.2">
      <c r="H218" s="5" t="s">
        <v>41</v>
      </c>
    </row>
    <row r="220" spans="1:10" x14ac:dyDescent="0.2">
      <c r="A220" s="5"/>
    </row>
    <row r="221" spans="1:10" x14ac:dyDescent="0.2">
      <c r="A221" s="5"/>
    </row>
    <row r="226" spans="2:10" x14ac:dyDescent="0.2">
      <c r="C226" s="2"/>
      <c r="D226" s="2"/>
      <c r="E226" s="2"/>
      <c r="F226" s="1" t="s">
        <v>81</v>
      </c>
    </row>
    <row r="227" spans="2:10" x14ac:dyDescent="0.2">
      <c r="F227" s="5" t="s">
        <v>80</v>
      </c>
    </row>
    <row r="228" spans="2:10" ht="18" thickBot="1" x14ac:dyDescent="0.25">
      <c r="B228" s="9"/>
      <c r="C228" s="9"/>
      <c r="D228" s="9"/>
      <c r="E228" s="9"/>
      <c r="F228" s="10" t="s">
        <v>79</v>
      </c>
      <c r="G228" s="9"/>
      <c r="H228" s="9"/>
      <c r="I228" s="9"/>
      <c r="J228" s="9"/>
    </row>
    <row r="229" spans="2:10" x14ac:dyDescent="0.2">
      <c r="E229" s="14"/>
      <c r="F229" s="11"/>
      <c r="G229" s="11"/>
      <c r="H229" s="11"/>
      <c r="I229" s="11"/>
      <c r="J229" s="11"/>
    </row>
    <row r="230" spans="2:10" x14ac:dyDescent="0.2">
      <c r="E230" s="25"/>
      <c r="F230" s="13"/>
      <c r="G230" s="24" t="s">
        <v>108</v>
      </c>
      <c r="H230" s="13"/>
      <c r="I230" s="13"/>
      <c r="J230" s="13"/>
    </row>
    <row r="231" spans="2:10" x14ac:dyDescent="0.2">
      <c r="E231" s="14"/>
      <c r="F231" s="14"/>
      <c r="G231" s="14"/>
      <c r="H231" s="12" t="s">
        <v>76</v>
      </c>
      <c r="I231" s="12" t="s">
        <v>75</v>
      </c>
      <c r="J231" s="12" t="s">
        <v>74</v>
      </c>
    </row>
    <row r="232" spans="2:10" x14ac:dyDescent="0.2">
      <c r="B232" s="13"/>
      <c r="C232" s="13"/>
      <c r="D232" s="13"/>
      <c r="E232" s="15" t="s">
        <v>73</v>
      </c>
      <c r="F232" s="15" t="s">
        <v>72</v>
      </c>
      <c r="G232" s="15" t="s">
        <v>71</v>
      </c>
      <c r="H232" s="23" t="s">
        <v>70</v>
      </c>
      <c r="I232" s="23" t="s">
        <v>69</v>
      </c>
      <c r="J232" s="23" t="s">
        <v>68</v>
      </c>
    </row>
    <row r="233" spans="2:10" x14ac:dyDescent="0.2">
      <c r="E233" s="14"/>
      <c r="F233" s="22" t="s">
        <v>67</v>
      </c>
      <c r="G233" s="22" t="s">
        <v>66</v>
      </c>
      <c r="H233" s="22" t="s">
        <v>66</v>
      </c>
      <c r="I233" s="22" t="s">
        <v>66</v>
      </c>
      <c r="J233" s="22" t="s">
        <v>66</v>
      </c>
    </row>
    <row r="234" spans="2:10" x14ac:dyDescent="0.2">
      <c r="C234" s="5" t="s">
        <v>65</v>
      </c>
      <c r="E234" s="17">
        <v>755</v>
      </c>
      <c r="F234" s="16">
        <v>5816</v>
      </c>
      <c r="G234" s="16">
        <f>10256+0.4</f>
        <v>10256.4</v>
      </c>
      <c r="H234" s="16">
        <f>61379+0.4</f>
        <v>61379.4</v>
      </c>
      <c r="I234" s="16">
        <f>84903+0.4</f>
        <v>84903.4</v>
      </c>
      <c r="J234" s="16">
        <f>22563+0.4</f>
        <v>22563.4</v>
      </c>
    </row>
    <row r="235" spans="2:10" x14ac:dyDescent="0.2">
      <c r="C235" s="5" t="s">
        <v>64</v>
      </c>
      <c r="E235" s="17">
        <v>747</v>
      </c>
      <c r="F235" s="16">
        <v>5627</v>
      </c>
      <c r="G235" s="16">
        <v>10009</v>
      </c>
      <c r="H235" s="16">
        <v>63753</v>
      </c>
      <c r="I235" s="16">
        <f>88182-0.4</f>
        <v>88181.6</v>
      </c>
      <c r="J235" s="16">
        <v>23993</v>
      </c>
    </row>
    <row r="236" spans="2:10" x14ac:dyDescent="0.2">
      <c r="C236" s="5" t="s">
        <v>63</v>
      </c>
      <c r="E236" s="17">
        <v>483</v>
      </c>
      <c r="F236" s="16">
        <v>4845</v>
      </c>
      <c r="G236" s="16">
        <v>9745</v>
      </c>
      <c r="H236" s="16">
        <v>52207</v>
      </c>
      <c r="I236" s="16">
        <v>74893</v>
      </c>
      <c r="J236" s="16">
        <v>21715</v>
      </c>
    </row>
    <row r="237" spans="2:10" x14ac:dyDescent="0.2">
      <c r="C237" s="5" t="s">
        <v>62</v>
      </c>
      <c r="E237" s="17">
        <v>484</v>
      </c>
      <c r="F237" s="16">
        <v>4649</v>
      </c>
      <c r="G237" s="16">
        <v>9638</v>
      </c>
      <c r="H237" s="16">
        <v>52239</v>
      </c>
      <c r="I237" s="16">
        <f>72401+0.4</f>
        <v>72401.399999999994</v>
      </c>
      <c r="J237" s="16">
        <v>19520</v>
      </c>
    </row>
    <row r="238" spans="2:10" x14ac:dyDescent="0.2">
      <c r="E238" s="14"/>
    </row>
    <row r="239" spans="2:10" x14ac:dyDescent="0.2">
      <c r="C239" s="5" t="s">
        <v>61</v>
      </c>
      <c r="E239" s="17">
        <v>459</v>
      </c>
      <c r="F239" s="16">
        <v>4425</v>
      </c>
      <c r="G239" s="16">
        <f>9463-0.4</f>
        <v>9462.6</v>
      </c>
      <c r="H239" s="16">
        <f>49540-0.4</f>
        <v>49539.6</v>
      </c>
      <c r="I239" s="16">
        <v>70288</v>
      </c>
      <c r="J239" s="16">
        <f>20046-0.4</f>
        <v>20045.599999999999</v>
      </c>
    </row>
    <row r="240" spans="2:10" x14ac:dyDescent="0.2">
      <c r="C240" s="5" t="s">
        <v>60</v>
      </c>
      <c r="E240" s="17">
        <v>416</v>
      </c>
      <c r="F240" s="16">
        <v>4042</v>
      </c>
      <c r="G240" s="16">
        <v>8963</v>
      </c>
      <c r="H240" s="16">
        <v>45734</v>
      </c>
      <c r="I240" s="16">
        <f>65979+0.4</f>
        <v>65979.399999999994</v>
      </c>
      <c r="J240" s="16">
        <v>19815</v>
      </c>
    </row>
    <row r="241" spans="3:10" x14ac:dyDescent="0.2">
      <c r="C241" s="5" t="s">
        <v>59</v>
      </c>
      <c r="E241" s="17">
        <v>432</v>
      </c>
      <c r="F241" s="16">
        <v>4171</v>
      </c>
      <c r="G241" s="16">
        <v>9759</v>
      </c>
      <c r="H241" s="16">
        <v>47541</v>
      </c>
      <c r="I241" s="16">
        <v>70674</v>
      </c>
      <c r="J241" s="16">
        <v>22747</v>
      </c>
    </row>
    <row r="242" spans="3:10" x14ac:dyDescent="0.2">
      <c r="C242" s="5" t="s">
        <v>58</v>
      </c>
      <c r="E242" s="17">
        <v>416</v>
      </c>
      <c r="F242" s="16">
        <v>4023</v>
      </c>
      <c r="G242" s="16">
        <v>9598</v>
      </c>
      <c r="H242" s="16">
        <v>43609</v>
      </c>
      <c r="I242" s="16">
        <v>66376</v>
      </c>
      <c r="J242" s="16">
        <v>22659</v>
      </c>
    </row>
    <row r="243" spans="3:10" x14ac:dyDescent="0.2">
      <c r="E243" s="14"/>
    </row>
    <row r="244" spans="3:10" x14ac:dyDescent="0.2">
      <c r="C244" s="5" t="s">
        <v>57</v>
      </c>
      <c r="E244" s="17">
        <v>403</v>
      </c>
      <c r="F244" s="16">
        <v>4157</v>
      </c>
      <c r="G244" s="16">
        <v>10181</v>
      </c>
      <c r="H244" s="16">
        <v>45517</v>
      </c>
      <c r="I244" s="16">
        <v>71610</v>
      </c>
      <c r="J244" s="16">
        <v>24711</v>
      </c>
    </row>
    <row r="245" spans="3:10" x14ac:dyDescent="0.2">
      <c r="C245" s="5" t="s">
        <v>56</v>
      </c>
      <c r="E245" s="17">
        <v>411</v>
      </c>
      <c r="F245" s="16">
        <v>4251</v>
      </c>
      <c r="G245" s="16">
        <v>10799</v>
      </c>
      <c r="H245" s="16">
        <v>47456</v>
      </c>
      <c r="I245" s="16">
        <v>74882</v>
      </c>
      <c r="J245" s="16">
        <v>26747</v>
      </c>
    </row>
    <row r="246" spans="3:10" x14ac:dyDescent="0.2">
      <c r="C246" s="5" t="s">
        <v>55</v>
      </c>
      <c r="E246" s="17">
        <v>398</v>
      </c>
      <c r="F246" s="16">
        <v>4114</v>
      </c>
      <c r="G246" s="16">
        <v>10912</v>
      </c>
      <c r="H246" s="16">
        <v>52599</v>
      </c>
      <c r="I246" s="16">
        <v>80281</v>
      </c>
      <c r="J246" s="16">
        <v>26548</v>
      </c>
    </row>
    <row r="247" spans="3:10" x14ac:dyDescent="0.2">
      <c r="C247" s="5" t="s">
        <v>54</v>
      </c>
      <c r="E247" s="17">
        <v>394</v>
      </c>
      <c r="F247" s="16">
        <v>4042</v>
      </c>
      <c r="G247" s="16">
        <v>10984</v>
      </c>
      <c r="H247" s="16">
        <v>55928</v>
      </c>
      <c r="I247" s="16">
        <v>83944</v>
      </c>
      <c r="J247" s="16">
        <v>26876</v>
      </c>
    </row>
    <row r="248" spans="3:10" x14ac:dyDescent="0.2">
      <c r="E248" s="14"/>
    </row>
    <row r="249" spans="3:10" x14ac:dyDescent="0.2">
      <c r="C249" s="5" t="s">
        <v>53</v>
      </c>
      <c r="E249" s="17">
        <v>379</v>
      </c>
      <c r="F249" s="16">
        <v>3858</v>
      </c>
      <c r="G249" s="16">
        <v>11427</v>
      </c>
      <c r="H249" s="16">
        <v>52700</v>
      </c>
      <c r="I249" s="16">
        <v>79430</v>
      </c>
      <c r="J249" s="16">
        <v>25417</v>
      </c>
    </row>
    <row r="250" spans="3:10" x14ac:dyDescent="0.2">
      <c r="C250" s="5" t="s">
        <v>52</v>
      </c>
      <c r="E250" s="17">
        <v>363</v>
      </c>
      <c r="F250" s="16">
        <v>3729</v>
      </c>
      <c r="G250" s="16">
        <v>11129</v>
      </c>
      <c r="H250" s="16">
        <v>51786</v>
      </c>
      <c r="I250" s="16">
        <f>75493-0.2</f>
        <v>75492.800000000003</v>
      </c>
      <c r="J250" s="16">
        <v>22341</v>
      </c>
    </row>
    <row r="251" spans="3:10" x14ac:dyDescent="0.2">
      <c r="C251" s="5" t="s">
        <v>51</v>
      </c>
      <c r="E251" s="17">
        <v>359</v>
      </c>
      <c r="F251" s="16">
        <v>3720</v>
      </c>
      <c r="G251" s="16">
        <f>11311+0.4</f>
        <v>11311.4</v>
      </c>
      <c r="H251" s="16">
        <v>52690</v>
      </c>
      <c r="I251" s="16">
        <v>79745</v>
      </c>
      <c r="J251" s="16">
        <v>25398</v>
      </c>
    </row>
    <row r="252" spans="3:10" x14ac:dyDescent="0.2">
      <c r="C252" s="5" t="s">
        <v>50</v>
      </c>
      <c r="E252" s="17">
        <v>338</v>
      </c>
      <c r="F252" s="16">
        <v>3526</v>
      </c>
      <c r="G252" s="16">
        <f>11181+0.4</f>
        <v>11181.4</v>
      </c>
      <c r="H252" s="16">
        <v>50075</v>
      </c>
      <c r="I252" s="16">
        <v>77227</v>
      </c>
      <c r="J252" s="16">
        <v>25567</v>
      </c>
    </row>
    <row r="253" spans="3:10" x14ac:dyDescent="0.2">
      <c r="E253" s="14"/>
    </row>
    <row r="254" spans="3:10" x14ac:dyDescent="0.2">
      <c r="C254" s="5" t="s">
        <v>49</v>
      </c>
      <c r="E254" s="17">
        <v>333</v>
      </c>
      <c r="F254" s="16">
        <v>3428</v>
      </c>
      <c r="G254" s="16">
        <v>10591</v>
      </c>
      <c r="H254" s="16">
        <v>46360</v>
      </c>
      <c r="I254" s="16">
        <f>71495-0.4</f>
        <v>71494.600000000006</v>
      </c>
      <c r="J254" s="16">
        <v>23943</v>
      </c>
    </row>
    <row r="255" spans="3:10" x14ac:dyDescent="0.2">
      <c r="C255" s="5" t="s">
        <v>48</v>
      </c>
      <c r="E255" s="17">
        <v>314</v>
      </c>
      <c r="F255" s="16">
        <v>3319</v>
      </c>
      <c r="G255" s="16">
        <v>10568</v>
      </c>
      <c r="H255" s="16">
        <v>46675</v>
      </c>
      <c r="I255" s="16">
        <v>70702</v>
      </c>
      <c r="J255" s="16">
        <v>22387</v>
      </c>
    </row>
    <row r="256" spans="3:10" x14ac:dyDescent="0.2">
      <c r="C256" s="5" t="s">
        <v>47</v>
      </c>
      <c r="E256" s="17">
        <v>291</v>
      </c>
      <c r="F256" s="16">
        <v>3088</v>
      </c>
      <c r="G256" s="16">
        <v>10044</v>
      </c>
      <c r="H256" s="16">
        <v>43692</v>
      </c>
      <c r="I256" s="16">
        <v>67392</v>
      </c>
      <c r="J256" s="16">
        <v>22029</v>
      </c>
    </row>
    <row r="257" spans="2:10" x14ac:dyDescent="0.2">
      <c r="C257" s="5" t="s">
        <v>45</v>
      </c>
      <c r="D257" s="2"/>
      <c r="E257" s="17">
        <v>290</v>
      </c>
      <c r="F257" s="16">
        <v>2855</v>
      </c>
      <c r="G257" s="16">
        <v>9395</v>
      </c>
      <c r="H257" s="16">
        <v>34120</v>
      </c>
      <c r="I257" s="16">
        <v>54623</v>
      </c>
      <c r="J257" s="16">
        <v>19232</v>
      </c>
    </row>
    <row r="258" spans="2:10" x14ac:dyDescent="0.2">
      <c r="C258" s="1" t="s">
        <v>44</v>
      </c>
      <c r="D258" s="2"/>
      <c r="E258" s="3">
        <v>258</v>
      </c>
      <c r="F258" s="20">
        <v>2658</v>
      </c>
      <c r="G258" s="20">
        <v>8960</v>
      </c>
      <c r="H258" s="20">
        <v>29707</v>
      </c>
      <c r="I258" s="20">
        <v>50005</v>
      </c>
      <c r="J258" s="20">
        <v>18691</v>
      </c>
    </row>
    <row r="259" spans="2:10" ht="18" thickBot="1" x14ac:dyDescent="0.25">
      <c r="B259" s="9"/>
      <c r="C259" s="9"/>
      <c r="D259" s="9"/>
      <c r="E259" s="19"/>
      <c r="F259" s="9"/>
      <c r="G259" s="9"/>
      <c r="H259" s="9"/>
      <c r="I259" s="9"/>
      <c r="J259" s="9"/>
    </row>
    <row r="260" spans="2:10" x14ac:dyDescent="0.2">
      <c r="E260" s="14"/>
      <c r="F260" s="11"/>
      <c r="G260" s="11"/>
      <c r="H260" s="11"/>
      <c r="I260" s="11"/>
      <c r="J260" s="11"/>
    </row>
    <row r="261" spans="2:10" x14ac:dyDescent="0.2">
      <c r="E261" s="25"/>
      <c r="F261" s="13"/>
      <c r="G261" s="24" t="s">
        <v>107</v>
      </c>
      <c r="H261" s="13"/>
      <c r="I261" s="13"/>
      <c r="J261" s="13"/>
    </row>
    <row r="262" spans="2:10" x14ac:dyDescent="0.2">
      <c r="E262" s="14"/>
      <c r="F262" s="14"/>
      <c r="G262" s="14"/>
      <c r="H262" s="12" t="s">
        <v>76</v>
      </c>
      <c r="I262" s="12" t="s">
        <v>75</v>
      </c>
      <c r="J262" s="12" t="s">
        <v>74</v>
      </c>
    </row>
    <row r="263" spans="2:10" x14ac:dyDescent="0.2">
      <c r="B263" s="13"/>
      <c r="C263" s="13"/>
      <c r="D263" s="13"/>
      <c r="E263" s="15" t="s">
        <v>73</v>
      </c>
      <c r="F263" s="15" t="s">
        <v>72</v>
      </c>
      <c r="G263" s="15" t="s">
        <v>71</v>
      </c>
      <c r="H263" s="23" t="s">
        <v>70</v>
      </c>
      <c r="I263" s="23" t="s">
        <v>69</v>
      </c>
      <c r="J263" s="23" t="s">
        <v>68</v>
      </c>
    </row>
    <row r="264" spans="2:10" x14ac:dyDescent="0.2">
      <c r="E264" s="14"/>
      <c r="F264" s="22" t="s">
        <v>67</v>
      </c>
      <c r="G264" s="22" t="s">
        <v>66</v>
      </c>
      <c r="H264" s="22" t="s">
        <v>66</v>
      </c>
      <c r="I264" s="22" t="s">
        <v>66</v>
      </c>
      <c r="J264" s="22" t="s">
        <v>66</v>
      </c>
    </row>
    <row r="265" spans="2:10" x14ac:dyDescent="0.2">
      <c r="C265" s="5" t="s">
        <v>65</v>
      </c>
      <c r="E265" s="17">
        <v>833</v>
      </c>
      <c r="F265" s="16">
        <v>4708</v>
      </c>
      <c r="G265" s="16">
        <f>7204+0.4</f>
        <v>7204.4</v>
      </c>
      <c r="H265" s="16">
        <f>22116+0.4</f>
        <v>22116.400000000001</v>
      </c>
      <c r="I265" s="16">
        <f>39108+0.4</f>
        <v>39108.400000000001</v>
      </c>
      <c r="J265" s="16">
        <f>16733+0.4</f>
        <v>16733.400000000001</v>
      </c>
    </row>
    <row r="266" spans="2:10" x14ac:dyDescent="0.2">
      <c r="C266" s="5" t="s">
        <v>64</v>
      </c>
      <c r="E266" s="17">
        <v>796</v>
      </c>
      <c r="F266" s="16">
        <v>4428</v>
      </c>
      <c r="G266" s="16">
        <v>7068</v>
      </c>
      <c r="H266" s="16">
        <v>22029</v>
      </c>
      <c r="I266" s="16">
        <v>38626</v>
      </c>
      <c r="J266" s="16">
        <v>16379</v>
      </c>
    </row>
    <row r="267" spans="2:10" x14ac:dyDescent="0.2">
      <c r="C267" s="5" t="s">
        <v>63</v>
      </c>
      <c r="E267" s="17">
        <v>427</v>
      </c>
      <c r="F267" s="16">
        <v>3940</v>
      </c>
      <c r="G267" s="16">
        <v>7737</v>
      </c>
      <c r="H267" s="16">
        <f>22709-0.4</f>
        <v>22708.6</v>
      </c>
      <c r="I267" s="16">
        <v>39121</v>
      </c>
      <c r="J267" s="16">
        <v>15874</v>
      </c>
    </row>
    <row r="268" spans="2:10" x14ac:dyDescent="0.2">
      <c r="C268" s="5" t="s">
        <v>62</v>
      </c>
      <c r="E268" s="17">
        <v>406</v>
      </c>
      <c r="F268" s="16">
        <v>3790</v>
      </c>
      <c r="G268" s="16">
        <v>7761</v>
      </c>
      <c r="H268" s="16">
        <v>21208</v>
      </c>
      <c r="I268" s="16">
        <v>38200</v>
      </c>
      <c r="J268" s="16">
        <v>16525</v>
      </c>
    </row>
    <row r="269" spans="2:10" x14ac:dyDescent="0.2">
      <c r="E269" s="14"/>
    </row>
    <row r="270" spans="2:10" x14ac:dyDescent="0.2">
      <c r="C270" s="5" t="s">
        <v>61</v>
      </c>
      <c r="E270" s="17">
        <v>394</v>
      </c>
      <c r="F270" s="16">
        <v>3708</v>
      </c>
      <c r="G270" s="16">
        <v>7868</v>
      </c>
      <c r="H270" s="16">
        <v>21874</v>
      </c>
      <c r="I270" s="16">
        <v>38631</v>
      </c>
      <c r="J270" s="16">
        <v>16346</v>
      </c>
    </row>
    <row r="271" spans="2:10" x14ac:dyDescent="0.2">
      <c r="C271" s="5" t="s">
        <v>60</v>
      </c>
      <c r="E271" s="17">
        <v>367</v>
      </c>
      <c r="F271" s="16">
        <v>3530</v>
      </c>
      <c r="G271" s="16">
        <v>7688</v>
      </c>
      <c r="H271" s="16">
        <v>20094</v>
      </c>
      <c r="I271" s="16">
        <v>36645</v>
      </c>
      <c r="J271" s="16">
        <v>16330</v>
      </c>
    </row>
    <row r="272" spans="2:10" x14ac:dyDescent="0.2">
      <c r="C272" s="5" t="s">
        <v>59</v>
      </c>
      <c r="E272" s="17">
        <v>362</v>
      </c>
      <c r="F272" s="16">
        <v>3316</v>
      </c>
      <c r="G272" s="16">
        <v>7871</v>
      </c>
      <c r="H272" s="16">
        <v>20131</v>
      </c>
      <c r="I272" s="16">
        <v>36306</v>
      </c>
      <c r="J272" s="16">
        <v>15742</v>
      </c>
    </row>
    <row r="273" spans="3:10" x14ac:dyDescent="0.2">
      <c r="C273" s="5" t="s">
        <v>58</v>
      </c>
      <c r="E273" s="17">
        <v>364</v>
      </c>
      <c r="F273" s="16">
        <v>3417</v>
      </c>
      <c r="G273" s="16">
        <v>8216</v>
      </c>
      <c r="H273" s="16">
        <v>18854</v>
      </c>
      <c r="I273" s="16">
        <v>37470</v>
      </c>
      <c r="J273" s="16">
        <v>18200</v>
      </c>
    </row>
    <row r="274" spans="3:10" x14ac:dyDescent="0.2">
      <c r="E274" s="14"/>
    </row>
    <row r="275" spans="3:10" x14ac:dyDescent="0.2">
      <c r="C275" s="5" t="s">
        <v>57</v>
      </c>
      <c r="E275" s="17">
        <v>372</v>
      </c>
      <c r="F275" s="16">
        <v>3529</v>
      </c>
      <c r="G275" s="16">
        <v>8516</v>
      </c>
      <c r="H275" s="16">
        <v>21812</v>
      </c>
      <c r="I275" s="16">
        <v>38979</v>
      </c>
      <c r="J275" s="16">
        <v>16757</v>
      </c>
    </row>
    <row r="276" spans="3:10" x14ac:dyDescent="0.2">
      <c r="C276" s="5" t="s">
        <v>56</v>
      </c>
      <c r="E276" s="17">
        <v>368</v>
      </c>
      <c r="F276" s="16">
        <v>3566</v>
      </c>
      <c r="G276" s="16">
        <v>8820</v>
      </c>
      <c r="H276" s="16">
        <v>20911</v>
      </c>
      <c r="I276" s="16">
        <v>40909</v>
      </c>
      <c r="J276" s="16">
        <v>20002</v>
      </c>
    </row>
    <row r="277" spans="3:10" x14ac:dyDescent="0.2">
      <c r="C277" s="5" t="s">
        <v>55</v>
      </c>
      <c r="E277" s="17">
        <v>356</v>
      </c>
      <c r="F277" s="16">
        <v>3662</v>
      </c>
      <c r="G277" s="16">
        <v>9552</v>
      </c>
      <c r="H277" s="16">
        <v>23375</v>
      </c>
      <c r="I277" s="16">
        <v>44480</v>
      </c>
      <c r="J277" s="16">
        <v>20409</v>
      </c>
    </row>
    <row r="278" spans="3:10" x14ac:dyDescent="0.2">
      <c r="C278" s="5" t="s">
        <v>54</v>
      </c>
      <c r="E278" s="17">
        <v>360</v>
      </c>
      <c r="F278" s="16">
        <v>3568</v>
      </c>
      <c r="G278" s="16">
        <v>9534</v>
      </c>
      <c r="H278" s="16">
        <v>23699</v>
      </c>
      <c r="I278" s="16">
        <v>44929</v>
      </c>
      <c r="J278" s="16">
        <v>19899</v>
      </c>
    </row>
    <row r="279" spans="3:10" x14ac:dyDescent="0.2">
      <c r="E279" s="14"/>
    </row>
    <row r="280" spans="3:10" x14ac:dyDescent="0.2">
      <c r="C280" s="5" t="s">
        <v>53</v>
      </c>
      <c r="E280" s="17">
        <v>345</v>
      </c>
      <c r="F280" s="16">
        <v>3385</v>
      </c>
      <c r="G280" s="16">
        <v>9932</v>
      </c>
      <c r="H280" s="16">
        <v>23831</v>
      </c>
      <c r="I280" s="16">
        <v>46787</v>
      </c>
      <c r="J280" s="16">
        <v>22041</v>
      </c>
    </row>
    <row r="281" spans="3:10" x14ac:dyDescent="0.2">
      <c r="C281" s="5" t="s">
        <v>52</v>
      </c>
      <c r="E281" s="17">
        <v>334</v>
      </c>
      <c r="F281" s="16">
        <v>3338</v>
      </c>
      <c r="G281" s="16">
        <v>10093</v>
      </c>
      <c r="H281" s="16">
        <v>23630</v>
      </c>
      <c r="I281" s="16">
        <f>45335-0.2</f>
        <v>45334.8</v>
      </c>
      <c r="J281" s="16">
        <v>20754</v>
      </c>
    </row>
    <row r="282" spans="3:10" x14ac:dyDescent="0.2">
      <c r="C282" s="5" t="s">
        <v>51</v>
      </c>
      <c r="E282" s="17">
        <v>321</v>
      </c>
      <c r="F282" s="16">
        <v>3201</v>
      </c>
      <c r="G282" s="16">
        <v>9548</v>
      </c>
      <c r="H282" s="16">
        <v>22961</v>
      </c>
      <c r="I282" s="16">
        <v>43462</v>
      </c>
      <c r="J282" s="16">
        <f>19308+0.2</f>
        <v>19308.2</v>
      </c>
    </row>
    <row r="283" spans="3:10" x14ac:dyDescent="0.2">
      <c r="C283" s="5" t="s">
        <v>50</v>
      </c>
      <c r="E283" s="17">
        <v>307</v>
      </c>
      <c r="F283" s="16">
        <v>3075</v>
      </c>
      <c r="G283" s="16">
        <v>9659</v>
      </c>
      <c r="H283" s="16">
        <v>22532</v>
      </c>
      <c r="I283" s="16">
        <v>43095</v>
      </c>
      <c r="J283" s="16">
        <v>19516</v>
      </c>
    </row>
    <row r="284" spans="3:10" x14ac:dyDescent="0.2">
      <c r="E284" s="14"/>
    </row>
    <row r="285" spans="3:10" x14ac:dyDescent="0.2">
      <c r="C285" s="5" t="s">
        <v>49</v>
      </c>
      <c r="E285" s="17">
        <v>293</v>
      </c>
      <c r="F285" s="16">
        <v>3090</v>
      </c>
      <c r="G285" s="16">
        <v>9729</v>
      </c>
      <c r="H285" s="16">
        <v>25179</v>
      </c>
      <c r="I285" s="16">
        <f>47102-0.4</f>
        <v>47101.599999999999</v>
      </c>
      <c r="J285" s="16">
        <v>21042</v>
      </c>
    </row>
    <row r="286" spans="3:10" x14ac:dyDescent="0.2">
      <c r="C286" s="5" t="s">
        <v>48</v>
      </c>
      <c r="E286" s="17">
        <v>290</v>
      </c>
      <c r="F286" s="16">
        <v>3262</v>
      </c>
      <c r="G286" s="16">
        <v>10755</v>
      </c>
      <c r="H286" s="16">
        <v>26425</v>
      </c>
      <c r="I286" s="16">
        <v>50465</v>
      </c>
      <c r="J286" s="16">
        <v>22706</v>
      </c>
    </row>
    <row r="287" spans="3:10" x14ac:dyDescent="0.2">
      <c r="C287" s="5" t="s">
        <v>47</v>
      </c>
      <c r="E287" s="17">
        <v>279</v>
      </c>
      <c r="F287" s="16">
        <v>3112</v>
      </c>
      <c r="G287" s="16">
        <v>10918</v>
      </c>
      <c r="H287" s="16">
        <v>27323</v>
      </c>
      <c r="I287" s="16">
        <v>51197</v>
      </c>
      <c r="J287" s="16">
        <v>22429</v>
      </c>
    </row>
    <row r="288" spans="3:10" x14ac:dyDescent="0.2">
      <c r="C288" s="5" t="s">
        <v>45</v>
      </c>
      <c r="D288" s="2"/>
      <c r="E288" s="17">
        <v>254</v>
      </c>
      <c r="F288" s="16">
        <v>2677</v>
      </c>
      <c r="G288" s="16">
        <v>8992</v>
      </c>
      <c r="H288" s="16">
        <v>18888</v>
      </c>
      <c r="I288" s="16">
        <v>36198</v>
      </c>
      <c r="J288" s="16">
        <v>16171</v>
      </c>
    </row>
    <row r="289" spans="1:10" x14ac:dyDescent="0.2">
      <c r="C289" s="1" t="s">
        <v>44</v>
      </c>
      <c r="D289" s="2"/>
      <c r="E289" s="3">
        <v>249</v>
      </c>
      <c r="F289" s="20">
        <v>2573</v>
      </c>
      <c r="G289" s="20">
        <v>8406</v>
      </c>
      <c r="H289" s="20">
        <v>17432</v>
      </c>
      <c r="I289" s="20">
        <v>32995</v>
      </c>
      <c r="J289" s="20">
        <v>14533</v>
      </c>
    </row>
    <row r="290" spans="1:10" ht="18" thickBot="1" x14ac:dyDescent="0.25">
      <c r="B290" s="9"/>
      <c r="C290" s="9"/>
      <c r="D290" s="9"/>
      <c r="E290" s="19"/>
      <c r="F290" s="9"/>
      <c r="G290" s="9"/>
      <c r="H290" s="9"/>
      <c r="I290" s="9"/>
      <c r="J290" s="9"/>
    </row>
    <row r="291" spans="1:10" x14ac:dyDescent="0.2">
      <c r="D291" s="5" t="s">
        <v>43</v>
      </c>
      <c r="E291" s="5"/>
      <c r="H291" s="5" t="s">
        <v>42</v>
      </c>
    </row>
    <row r="292" spans="1:10" x14ac:dyDescent="0.2">
      <c r="H292" s="5" t="s">
        <v>41</v>
      </c>
    </row>
    <row r="294" spans="1:10" x14ac:dyDescent="0.2">
      <c r="A294" s="5"/>
    </row>
    <row r="295" spans="1:10" x14ac:dyDescent="0.2">
      <c r="A295" s="5"/>
    </row>
    <row r="300" spans="1:10" x14ac:dyDescent="0.2">
      <c r="C300" s="2"/>
      <c r="D300" s="2"/>
      <c r="E300" s="2"/>
      <c r="F300" s="1" t="s">
        <v>81</v>
      </c>
    </row>
    <row r="301" spans="1:10" x14ac:dyDescent="0.2">
      <c r="F301" s="5" t="s">
        <v>80</v>
      </c>
    </row>
    <row r="302" spans="1:10" ht="18" thickBot="1" x14ac:dyDescent="0.25">
      <c r="B302" s="9"/>
      <c r="C302" s="9"/>
      <c r="D302" s="9"/>
      <c r="E302" s="9"/>
      <c r="F302" s="10" t="s">
        <v>79</v>
      </c>
      <c r="G302" s="9"/>
      <c r="H302" s="9"/>
      <c r="I302" s="9"/>
      <c r="J302" s="9"/>
    </row>
    <row r="303" spans="1:10" x14ac:dyDescent="0.2">
      <c r="E303" s="14"/>
      <c r="F303" s="11"/>
      <c r="G303" s="11"/>
      <c r="H303" s="11"/>
      <c r="I303" s="11"/>
      <c r="J303" s="11"/>
    </row>
    <row r="304" spans="1:10" x14ac:dyDescent="0.2">
      <c r="E304" s="25"/>
      <c r="F304" s="13"/>
      <c r="G304" s="24" t="s">
        <v>106</v>
      </c>
      <c r="H304" s="13"/>
      <c r="I304" s="13"/>
      <c r="J304" s="13"/>
    </row>
    <row r="305" spans="2:10" x14ac:dyDescent="0.2">
      <c r="E305" s="14"/>
      <c r="F305" s="14"/>
      <c r="G305" s="14"/>
      <c r="H305" s="12" t="s">
        <v>76</v>
      </c>
      <c r="I305" s="12" t="s">
        <v>75</v>
      </c>
      <c r="J305" s="12" t="s">
        <v>74</v>
      </c>
    </row>
    <row r="306" spans="2:10" x14ac:dyDescent="0.2">
      <c r="B306" s="13"/>
      <c r="C306" s="13"/>
      <c r="D306" s="13"/>
      <c r="E306" s="15" t="s">
        <v>73</v>
      </c>
      <c r="F306" s="15" t="s">
        <v>72</v>
      </c>
      <c r="G306" s="15" t="s">
        <v>71</v>
      </c>
      <c r="H306" s="23" t="s">
        <v>70</v>
      </c>
      <c r="I306" s="23" t="s">
        <v>69</v>
      </c>
      <c r="J306" s="23" t="s">
        <v>68</v>
      </c>
    </row>
    <row r="307" spans="2:10" x14ac:dyDescent="0.2">
      <c r="E307" s="14"/>
      <c r="F307" s="22" t="s">
        <v>67</v>
      </c>
      <c r="G307" s="22" t="s">
        <v>66</v>
      </c>
      <c r="H307" s="22" t="s">
        <v>66</v>
      </c>
      <c r="I307" s="22" t="s">
        <v>66</v>
      </c>
      <c r="J307" s="22" t="s">
        <v>66</v>
      </c>
    </row>
    <row r="308" spans="2:10" x14ac:dyDescent="0.2">
      <c r="C308" s="5" t="s">
        <v>65</v>
      </c>
      <c r="E308" s="17">
        <v>98</v>
      </c>
      <c r="F308" s="16">
        <v>1932</v>
      </c>
      <c r="G308" s="16">
        <f>5194+0.4</f>
        <v>5194.3999999999996</v>
      </c>
      <c r="H308" s="16">
        <f>18192+0.4</f>
        <v>18192.400000000001</v>
      </c>
      <c r="I308" s="16">
        <f>28695+0.4</f>
        <v>28695.4</v>
      </c>
      <c r="J308" s="16">
        <f>9733+0.4</f>
        <v>9733.4</v>
      </c>
    </row>
    <row r="309" spans="2:10" x14ac:dyDescent="0.2">
      <c r="C309" s="5" t="s">
        <v>64</v>
      </c>
      <c r="E309" s="17">
        <v>95</v>
      </c>
      <c r="F309" s="16">
        <v>1783</v>
      </c>
      <c r="G309" s="16">
        <v>5140</v>
      </c>
      <c r="H309" s="16">
        <v>23236</v>
      </c>
      <c r="I309" s="16">
        <v>32219</v>
      </c>
      <c r="J309" s="16">
        <v>9166</v>
      </c>
    </row>
    <row r="310" spans="2:10" x14ac:dyDescent="0.2">
      <c r="C310" s="5" t="s">
        <v>63</v>
      </c>
      <c r="E310" s="17">
        <v>70</v>
      </c>
      <c r="F310" s="16">
        <v>1694</v>
      </c>
      <c r="G310" s="16">
        <v>5464</v>
      </c>
      <c r="H310" s="16">
        <v>20645</v>
      </c>
      <c r="I310" s="16">
        <v>29018</v>
      </c>
      <c r="J310" s="16">
        <v>7456</v>
      </c>
    </row>
    <row r="311" spans="2:10" x14ac:dyDescent="0.2">
      <c r="C311" s="5" t="s">
        <v>62</v>
      </c>
      <c r="E311" s="17">
        <v>70</v>
      </c>
      <c r="F311" s="16">
        <v>1679</v>
      </c>
      <c r="G311" s="16">
        <v>5417</v>
      </c>
      <c r="H311" s="16">
        <v>19908</v>
      </c>
      <c r="I311" s="16">
        <v>30888</v>
      </c>
      <c r="J311" s="16">
        <v>10280</v>
      </c>
    </row>
    <row r="312" spans="2:10" x14ac:dyDescent="0.2">
      <c r="E312" s="14"/>
    </row>
    <row r="313" spans="2:10" x14ac:dyDescent="0.2">
      <c r="C313" s="5" t="s">
        <v>61</v>
      </c>
      <c r="E313" s="17">
        <v>67</v>
      </c>
      <c r="F313" s="16">
        <v>1568</v>
      </c>
      <c r="G313" s="16">
        <v>5119</v>
      </c>
      <c r="H313" s="16">
        <v>19189</v>
      </c>
      <c r="I313" s="16">
        <v>28828</v>
      </c>
      <c r="J313" s="16">
        <v>8968</v>
      </c>
    </row>
    <row r="314" spans="2:10" x14ac:dyDescent="0.2">
      <c r="C314" s="5" t="s">
        <v>60</v>
      </c>
      <c r="E314" s="17">
        <v>65</v>
      </c>
      <c r="F314" s="16">
        <v>1453</v>
      </c>
      <c r="G314" s="16">
        <v>4752</v>
      </c>
      <c r="H314" s="16">
        <v>18111</v>
      </c>
      <c r="I314" s="16">
        <v>27292</v>
      </c>
      <c r="J314" s="16">
        <v>8825</v>
      </c>
    </row>
    <row r="315" spans="2:10" x14ac:dyDescent="0.2">
      <c r="C315" s="5" t="s">
        <v>59</v>
      </c>
      <c r="E315" s="17">
        <v>64</v>
      </c>
      <c r="F315" s="16">
        <v>1522</v>
      </c>
      <c r="G315" s="16">
        <v>5638</v>
      </c>
      <c r="H315" s="16">
        <v>19887</v>
      </c>
      <c r="I315" s="16">
        <v>30035</v>
      </c>
      <c r="J315" s="16">
        <v>9599</v>
      </c>
    </row>
    <row r="316" spans="2:10" x14ac:dyDescent="0.2">
      <c r="C316" s="5" t="s">
        <v>58</v>
      </c>
      <c r="E316" s="17">
        <v>66</v>
      </c>
      <c r="F316" s="16">
        <v>1543</v>
      </c>
      <c r="G316" s="16">
        <v>5882</v>
      </c>
      <c r="H316" s="16">
        <v>20482</v>
      </c>
      <c r="I316" s="16">
        <v>29148</v>
      </c>
      <c r="J316" s="16">
        <v>8526</v>
      </c>
    </row>
    <row r="317" spans="2:10" x14ac:dyDescent="0.2">
      <c r="E317" s="14"/>
    </row>
    <row r="318" spans="2:10" x14ac:dyDescent="0.2">
      <c r="C318" s="5" t="s">
        <v>57</v>
      </c>
      <c r="E318" s="17">
        <v>61</v>
      </c>
      <c r="F318" s="16">
        <v>1407</v>
      </c>
      <c r="G318" s="16">
        <v>5260</v>
      </c>
      <c r="H318" s="16">
        <v>16192</v>
      </c>
      <c r="I318" s="16">
        <v>25802</v>
      </c>
      <c r="J318" s="16">
        <v>8371</v>
      </c>
    </row>
    <row r="319" spans="2:10" x14ac:dyDescent="0.2">
      <c r="C319" s="5" t="s">
        <v>56</v>
      </c>
      <c r="E319" s="17">
        <v>61</v>
      </c>
      <c r="F319" s="16">
        <v>1323</v>
      </c>
      <c r="G319" s="16">
        <v>5421</v>
      </c>
      <c r="H319" s="16">
        <v>15426</v>
      </c>
      <c r="I319" s="16">
        <v>26251</v>
      </c>
      <c r="J319" s="16">
        <v>10119</v>
      </c>
    </row>
    <row r="320" spans="2:10" x14ac:dyDescent="0.2">
      <c r="C320" s="5" t="s">
        <v>55</v>
      </c>
      <c r="E320" s="17">
        <v>61</v>
      </c>
      <c r="F320" s="16">
        <v>1257</v>
      </c>
      <c r="G320" s="16">
        <v>5209</v>
      </c>
      <c r="H320" s="16">
        <v>15808</v>
      </c>
      <c r="I320" s="16">
        <v>26749</v>
      </c>
      <c r="J320" s="16">
        <v>9694</v>
      </c>
    </row>
    <row r="321" spans="2:10" x14ac:dyDescent="0.2">
      <c r="C321" s="5" t="s">
        <v>54</v>
      </c>
      <c r="E321" s="17">
        <v>58</v>
      </c>
      <c r="F321" s="16">
        <v>1253</v>
      </c>
      <c r="G321" s="16">
        <v>5500</v>
      </c>
      <c r="H321" s="16">
        <v>16296</v>
      </c>
      <c r="I321" s="16">
        <v>26017</v>
      </c>
      <c r="J321" s="16">
        <v>9069</v>
      </c>
    </row>
    <row r="322" spans="2:10" x14ac:dyDescent="0.2">
      <c r="E322" s="14"/>
    </row>
    <row r="323" spans="2:10" x14ac:dyDescent="0.2">
      <c r="C323" s="5" t="s">
        <v>53</v>
      </c>
      <c r="E323" s="17">
        <v>55</v>
      </c>
      <c r="F323" s="16">
        <v>1236</v>
      </c>
      <c r="G323" s="16">
        <v>5383</v>
      </c>
      <c r="H323" s="16">
        <v>17699</v>
      </c>
      <c r="I323" s="16">
        <v>28076</v>
      </c>
      <c r="J323" s="16">
        <v>9983</v>
      </c>
    </row>
    <row r="324" spans="2:10" x14ac:dyDescent="0.2">
      <c r="C324" s="5" t="s">
        <v>52</v>
      </c>
      <c r="E324" s="17">
        <v>54</v>
      </c>
      <c r="F324" s="16">
        <v>1191</v>
      </c>
      <c r="G324" s="16">
        <v>5672</v>
      </c>
      <c r="H324" s="16">
        <v>17148</v>
      </c>
      <c r="I324" s="16">
        <v>28097</v>
      </c>
      <c r="J324" s="16">
        <v>9422</v>
      </c>
    </row>
    <row r="325" spans="2:10" x14ac:dyDescent="0.2">
      <c r="C325" s="5" t="s">
        <v>51</v>
      </c>
      <c r="E325" s="17">
        <v>56</v>
      </c>
      <c r="F325" s="16">
        <v>1123</v>
      </c>
      <c r="G325" s="16">
        <v>5940</v>
      </c>
      <c r="H325" s="16">
        <v>15625</v>
      </c>
      <c r="I325" s="16">
        <v>25188</v>
      </c>
      <c r="J325" s="16">
        <v>8232</v>
      </c>
    </row>
    <row r="326" spans="2:10" x14ac:dyDescent="0.2">
      <c r="C326" s="5" t="s">
        <v>50</v>
      </c>
      <c r="E326" s="17">
        <v>54</v>
      </c>
      <c r="F326" s="16">
        <v>1162</v>
      </c>
      <c r="G326" s="16">
        <v>5438</v>
      </c>
      <c r="H326" s="16">
        <v>19279</v>
      </c>
      <c r="I326" s="16">
        <v>30534</v>
      </c>
      <c r="J326" s="16">
        <v>9240</v>
      </c>
    </row>
    <row r="327" spans="2:10" x14ac:dyDescent="0.2">
      <c r="E327" s="14"/>
    </row>
    <row r="328" spans="2:10" x14ac:dyDescent="0.2">
      <c r="C328" s="5" t="s">
        <v>49</v>
      </c>
      <c r="E328" s="17">
        <v>52</v>
      </c>
      <c r="F328" s="16">
        <v>906</v>
      </c>
      <c r="G328" s="16">
        <v>4074</v>
      </c>
      <c r="H328" s="16">
        <v>15193</v>
      </c>
      <c r="I328" s="16">
        <f>21840-0.4</f>
        <v>21839.599999999999</v>
      </c>
      <c r="J328" s="16">
        <v>5305</v>
      </c>
    </row>
    <row r="329" spans="2:10" x14ac:dyDescent="0.2">
      <c r="C329" s="5" t="s">
        <v>48</v>
      </c>
      <c r="E329" s="17">
        <v>57</v>
      </c>
      <c r="F329" s="16">
        <v>1046</v>
      </c>
      <c r="G329" s="16">
        <v>4906</v>
      </c>
      <c r="H329" s="16">
        <v>14491</v>
      </c>
      <c r="I329" s="16">
        <v>25881</v>
      </c>
      <c r="J329" s="16">
        <v>9937</v>
      </c>
    </row>
    <row r="330" spans="2:10" x14ac:dyDescent="0.2">
      <c r="C330" s="5" t="s">
        <v>47</v>
      </c>
      <c r="E330" s="17">
        <v>52</v>
      </c>
      <c r="F330" s="16">
        <v>988</v>
      </c>
      <c r="G330" s="16">
        <v>4725</v>
      </c>
      <c r="H330" s="16">
        <v>14152</v>
      </c>
      <c r="I330" s="16">
        <v>26695</v>
      </c>
      <c r="J330" s="16">
        <v>10739</v>
      </c>
    </row>
    <row r="331" spans="2:10" x14ac:dyDescent="0.2">
      <c r="C331" s="5" t="s">
        <v>45</v>
      </c>
      <c r="D331" s="2"/>
      <c r="E331" s="17">
        <v>58</v>
      </c>
      <c r="F331" s="16">
        <v>904</v>
      </c>
      <c r="G331" s="16">
        <v>3941</v>
      </c>
      <c r="H331" s="16">
        <v>10715</v>
      </c>
      <c r="I331" s="16">
        <v>19375</v>
      </c>
      <c r="J331" s="16">
        <v>7546</v>
      </c>
    </row>
    <row r="332" spans="2:10" x14ac:dyDescent="0.2">
      <c r="C332" s="1" t="s">
        <v>44</v>
      </c>
      <c r="D332" s="2"/>
      <c r="E332" s="3">
        <v>59</v>
      </c>
      <c r="F332" s="20">
        <v>1174</v>
      </c>
      <c r="G332" s="20">
        <v>5176</v>
      </c>
      <c r="H332" s="20">
        <v>14016</v>
      </c>
      <c r="I332" s="20">
        <v>25103</v>
      </c>
      <c r="J332" s="20">
        <v>9212</v>
      </c>
    </row>
    <row r="333" spans="2:10" ht="18" thickBot="1" x14ac:dyDescent="0.25">
      <c r="B333" s="9"/>
      <c r="C333" s="9"/>
      <c r="D333" s="9"/>
      <c r="E333" s="19"/>
      <c r="F333" s="9"/>
      <c r="G333" s="9"/>
      <c r="H333" s="9"/>
      <c r="I333" s="9"/>
      <c r="J333" s="9"/>
    </row>
    <row r="334" spans="2:10" x14ac:dyDescent="0.2">
      <c r="E334" s="14"/>
      <c r="F334" s="11"/>
      <c r="G334" s="11"/>
      <c r="H334" s="11"/>
      <c r="I334" s="11"/>
      <c r="J334" s="11"/>
    </row>
    <row r="335" spans="2:10" x14ac:dyDescent="0.2">
      <c r="E335" s="25"/>
      <c r="F335" s="13"/>
      <c r="G335" s="24" t="s">
        <v>105</v>
      </c>
      <c r="H335" s="13"/>
      <c r="I335" s="13"/>
      <c r="J335" s="13"/>
    </row>
    <row r="336" spans="2:10" x14ac:dyDescent="0.2">
      <c r="E336" s="14"/>
      <c r="F336" s="14"/>
      <c r="G336" s="14"/>
      <c r="H336" s="12" t="s">
        <v>76</v>
      </c>
      <c r="I336" s="12" t="s">
        <v>75</v>
      </c>
      <c r="J336" s="12" t="s">
        <v>74</v>
      </c>
    </row>
    <row r="337" spans="2:10" x14ac:dyDescent="0.2">
      <c r="B337" s="13"/>
      <c r="C337" s="13"/>
      <c r="D337" s="13"/>
      <c r="E337" s="15" t="s">
        <v>73</v>
      </c>
      <c r="F337" s="15" t="s">
        <v>72</v>
      </c>
      <c r="G337" s="15" t="s">
        <v>71</v>
      </c>
      <c r="H337" s="23" t="s">
        <v>70</v>
      </c>
      <c r="I337" s="23" t="s">
        <v>69</v>
      </c>
      <c r="J337" s="23" t="s">
        <v>68</v>
      </c>
    </row>
    <row r="338" spans="2:10" x14ac:dyDescent="0.2">
      <c r="E338" s="14"/>
      <c r="F338" s="22" t="s">
        <v>67</v>
      </c>
      <c r="G338" s="22" t="s">
        <v>66</v>
      </c>
      <c r="H338" s="22" t="s">
        <v>66</v>
      </c>
      <c r="I338" s="22" t="s">
        <v>66</v>
      </c>
      <c r="J338" s="22" t="s">
        <v>66</v>
      </c>
    </row>
    <row r="339" spans="2:10" x14ac:dyDescent="0.2">
      <c r="C339" s="5" t="s">
        <v>65</v>
      </c>
      <c r="E339" s="17">
        <v>226</v>
      </c>
      <c r="F339" s="16">
        <v>1444</v>
      </c>
      <c r="G339" s="16">
        <f>2277+0.4</f>
        <v>2277.4</v>
      </c>
      <c r="H339" s="16">
        <f>3474+0.4</f>
        <v>3474.4</v>
      </c>
      <c r="I339" s="16">
        <f>8229+0.4</f>
        <v>8229.4</v>
      </c>
      <c r="J339" s="16">
        <f>4649+0.4</f>
        <v>4649.3999999999996</v>
      </c>
    </row>
    <row r="340" spans="2:10" x14ac:dyDescent="0.2">
      <c r="C340" s="5" t="s">
        <v>64</v>
      </c>
      <c r="E340" s="17">
        <v>225</v>
      </c>
      <c r="F340" s="16">
        <v>1630</v>
      </c>
      <c r="G340" s="16">
        <v>2890</v>
      </c>
      <c r="H340" s="16">
        <v>4207</v>
      </c>
      <c r="I340" s="16">
        <v>10123</v>
      </c>
      <c r="J340" s="16">
        <v>5731</v>
      </c>
    </row>
    <row r="341" spans="2:10" x14ac:dyDescent="0.2">
      <c r="C341" s="5" t="s">
        <v>63</v>
      </c>
      <c r="E341" s="17">
        <v>157</v>
      </c>
      <c r="F341" s="16">
        <v>1755</v>
      </c>
      <c r="G341" s="16">
        <v>3705</v>
      </c>
      <c r="H341" s="16">
        <v>5362</v>
      </c>
      <c r="I341" s="16">
        <v>12472</v>
      </c>
      <c r="J341" s="16">
        <v>6833</v>
      </c>
    </row>
    <row r="342" spans="2:10" x14ac:dyDescent="0.2">
      <c r="C342" s="5" t="s">
        <v>62</v>
      </c>
      <c r="E342" s="17">
        <v>163</v>
      </c>
      <c r="F342" s="16">
        <v>1719</v>
      </c>
      <c r="G342" s="16">
        <v>3713</v>
      </c>
      <c r="H342" s="16">
        <v>5661</v>
      </c>
      <c r="I342" s="16">
        <v>13013</v>
      </c>
      <c r="J342" s="16">
        <v>7068</v>
      </c>
    </row>
    <row r="343" spans="2:10" x14ac:dyDescent="0.2">
      <c r="E343" s="14"/>
    </row>
    <row r="344" spans="2:10" x14ac:dyDescent="0.2">
      <c r="C344" s="5" t="s">
        <v>61</v>
      </c>
      <c r="E344" s="17">
        <v>168</v>
      </c>
      <c r="F344" s="16">
        <v>1716</v>
      </c>
      <c r="G344" s="16">
        <v>3927</v>
      </c>
      <c r="H344" s="16">
        <v>6081</v>
      </c>
      <c r="I344" s="16">
        <v>14146</v>
      </c>
      <c r="J344" s="16">
        <v>7805</v>
      </c>
    </row>
    <row r="345" spans="2:10" x14ac:dyDescent="0.2">
      <c r="C345" s="5" t="s">
        <v>60</v>
      </c>
      <c r="E345" s="17">
        <v>157</v>
      </c>
      <c r="F345" s="16">
        <v>1615</v>
      </c>
      <c r="G345" s="16">
        <v>3824</v>
      </c>
      <c r="H345" s="16">
        <v>6272</v>
      </c>
      <c r="I345" s="16">
        <v>15180</v>
      </c>
      <c r="J345" s="16">
        <v>8639</v>
      </c>
    </row>
    <row r="346" spans="2:10" x14ac:dyDescent="0.2">
      <c r="C346" s="5" t="s">
        <v>59</v>
      </c>
      <c r="E346" s="17">
        <v>163</v>
      </c>
      <c r="F346" s="16">
        <v>1672</v>
      </c>
      <c r="G346" s="16">
        <v>4128</v>
      </c>
      <c r="H346" s="16">
        <v>6307</v>
      </c>
      <c r="I346" s="16">
        <v>14357</v>
      </c>
      <c r="J346" s="16">
        <v>7808</v>
      </c>
    </row>
    <row r="347" spans="2:10" x14ac:dyDescent="0.2">
      <c r="C347" s="5" t="s">
        <v>58</v>
      </c>
      <c r="E347" s="17">
        <v>161</v>
      </c>
      <c r="F347" s="16">
        <v>1729</v>
      </c>
      <c r="G347" s="16">
        <v>4404</v>
      </c>
      <c r="H347" s="16">
        <v>6654</v>
      </c>
      <c r="I347" s="16">
        <v>15142</v>
      </c>
      <c r="J347" s="16">
        <v>8170</v>
      </c>
    </row>
    <row r="348" spans="2:10" x14ac:dyDescent="0.2">
      <c r="E348" s="14"/>
    </row>
    <row r="349" spans="2:10" x14ac:dyDescent="0.2">
      <c r="C349" s="5" t="s">
        <v>57</v>
      </c>
      <c r="E349" s="17">
        <v>156</v>
      </c>
      <c r="F349" s="16">
        <v>1616</v>
      </c>
      <c r="G349" s="16">
        <v>4197</v>
      </c>
      <c r="H349" s="16">
        <v>6083</v>
      </c>
      <c r="I349" s="16">
        <v>14308</v>
      </c>
      <c r="J349" s="16">
        <v>7963</v>
      </c>
    </row>
    <row r="350" spans="2:10" x14ac:dyDescent="0.2">
      <c r="C350" s="5" t="s">
        <v>56</v>
      </c>
      <c r="E350" s="17">
        <v>161</v>
      </c>
      <c r="F350" s="16">
        <v>1749</v>
      </c>
      <c r="G350" s="16">
        <v>4749</v>
      </c>
      <c r="H350" s="16">
        <v>6617</v>
      </c>
      <c r="I350" s="16">
        <v>16224</v>
      </c>
      <c r="J350" s="16">
        <v>9361</v>
      </c>
    </row>
    <row r="351" spans="2:10" x14ac:dyDescent="0.2">
      <c r="C351" s="5" t="s">
        <v>55</v>
      </c>
      <c r="E351" s="17">
        <v>150</v>
      </c>
      <c r="F351" s="16">
        <v>1706</v>
      </c>
      <c r="G351" s="16">
        <v>4974</v>
      </c>
      <c r="H351" s="16">
        <v>7249</v>
      </c>
      <c r="I351" s="16">
        <v>17695</v>
      </c>
      <c r="J351" s="16">
        <v>10003</v>
      </c>
    </row>
    <row r="352" spans="2:10" x14ac:dyDescent="0.2">
      <c r="C352" s="5" t="s">
        <v>54</v>
      </c>
      <c r="E352" s="17">
        <v>159</v>
      </c>
      <c r="F352" s="16">
        <v>1778</v>
      </c>
      <c r="G352" s="16">
        <v>5362</v>
      </c>
      <c r="H352" s="16">
        <v>8688</v>
      </c>
      <c r="I352" s="16">
        <v>20487</v>
      </c>
      <c r="J352" s="16">
        <v>11014</v>
      </c>
    </row>
    <row r="353" spans="1:10" x14ac:dyDescent="0.2">
      <c r="E353" s="14"/>
    </row>
    <row r="354" spans="1:10" x14ac:dyDescent="0.2">
      <c r="C354" s="5" t="s">
        <v>53</v>
      </c>
      <c r="E354" s="17">
        <v>152</v>
      </c>
      <c r="F354" s="16">
        <v>1759</v>
      </c>
      <c r="G354" s="16">
        <v>5681</v>
      </c>
      <c r="H354" s="16">
        <v>8338</v>
      </c>
      <c r="I354" s="16">
        <v>20957</v>
      </c>
      <c r="J354" s="16">
        <v>11803</v>
      </c>
    </row>
    <row r="355" spans="1:10" x14ac:dyDescent="0.2">
      <c r="C355" s="5" t="s">
        <v>52</v>
      </c>
      <c r="E355" s="17">
        <v>143</v>
      </c>
      <c r="F355" s="16">
        <v>1695</v>
      </c>
      <c r="G355" s="16">
        <v>5553</v>
      </c>
      <c r="H355" s="16">
        <v>8565</v>
      </c>
      <c r="I355" s="16">
        <v>20856</v>
      </c>
      <c r="J355" s="16">
        <v>11388</v>
      </c>
    </row>
    <row r="356" spans="1:10" x14ac:dyDescent="0.2">
      <c r="C356" s="5" t="s">
        <v>51</v>
      </c>
      <c r="E356" s="17">
        <v>140</v>
      </c>
      <c r="F356" s="16">
        <v>1715</v>
      </c>
      <c r="G356" s="16">
        <v>5827</v>
      </c>
      <c r="H356" s="16">
        <v>8133</v>
      </c>
      <c r="I356" s="16">
        <v>20792</v>
      </c>
      <c r="J356" s="16">
        <v>11634</v>
      </c>
    </row>
    <row r="357" spans="1:10" x14ac:dyDescent="0.2">
      <c r="C357" s="5" t="s">
        <v>50</v>
      </c>
      <c r="E357" s="17">
        <v>129</v>
      </c>
      <c r="F357" s="16">
        <v>1671</v>
      </c>
      <c r="G357" s="16">
        <v>5888</v>
      </c>
      <c r="H357" s="16">
        <v>8072</v>
      </c>
      <c r="I357" s="16">
        <v>20292</v>
      </c>
      <c r="J357" s="16">
        <v>11238</v>
      </c>
    </row>
    <row r="358" spans="1:10" x14ac:dyDescent="0.2">
      <c r="E358" s="14"/>
    </row>
    <row r="359" spans="1:10" x14ac:dyDescent="0.2">
      <c r="C359" s="5" t="s">
        <v>49</v>
      </c>
      <c r="E359" s="17">
        <v>149</v>
      </c>
      <c r="F359" s="16">
        <v>1861</v>
      </c>
      <c r="G359" s="16">
        <v>6617</v>
      </c>
      <c r="H359" s="16">
        <v>8380</v>
      </c>
      <c r="I359" s="16">
        <v>21648</v>
      </c>
      <c r="J359" s="16">
        <v>12351</v>
      </c>
    </row>
    <row r="360" spans="1:10" x14ac:dyDescent="0.2">
      <c r="C360" s="5" t="s">
        <v>48</v>
      </c>
      <c r="E360" s="17">
        <v>142</v>
      </c>
      <c r="F360" s="16">
        <v>1797</v>
      </c>
      <c r="G360" s="16">
        <v>6623</v>
      </c>
      <c r="H360" s="16">
        <v>8567</v>
      </c>
      <c r="I360" s="16">
        <v>21381</v>
      </c>
      <c r="J360" s="16">
        <v>11974</v>
      </c>
    </row>
    <row r="361" spans="1:10" x14ac:dyDescent="0.2">
      <c r="C361" s="5" t="s">
        <v>47</v>
      </c>
      <c r="E361" s="17">
        <v>140</v>
      </c>
      <c r="F361" s="16">
        <v>1815</v>
      </c>
      <c r="G361" s="16">
        <v>6921</v>
      </c>
      <c r="H361" s="16">
        <v>9060</v>
      </c>
      <c r="I361" s="16">
        <v>22078</v>
      </c>
      <c r="J361" s="16">
        <v>12073</v>
      </c>
    </row>
    <row r="362" spans="1:10" x14ac:dyDescent="0.2">
      <c r="C362" s="5" t="s">
        <v>45</v>
      </c>
      <c r="D362" s="2"/>
      <c r="E362" s="17">
        <v>153</v>
      </c>
      <c r="F362" s="16">
        <v>1930</v>
      </c>
      <c r="G362" s="16">
        <v>7015</v>
      </c>
      <c r="H362" s="16">
        <v>9770</v>
      </c>
      <c r="I362" s="16">
        <v>23308</v>
      </c>
      <c r="J362" s="16">
        <v>12500</v>
      </c>
    </row>
    <row r="363" spans="1:10" x14ac:dyDescent="0.2">
      <c r="C363" s="1" t="s">
        <v>44</v>
      </c>
      <c r="D363" s="2"/>
      <c r="E363" s="3">
        <v>138</v>
      </c>
      <c r="F363" s="20">
        <v>1625</v>
      </c>
      <c r="G363" s="20">
        <v>5940</v>
      </c>
      <c r="H363" s="20">
        <v>7901</v>
      </c>
      <c r="I363" s="20">
        <v>19764</v>
      </c>
      <c r="J363" s="20">
        <v>11007</v>
      </c>
    </row>
    <row r="364" spans="1:10" ht="18" thickBot="1" x14ac:dyDescent="0.25">
      <c r="B364" s="9"/>
      <c r="C364" s="9"/>
      <c r="D364" s="9"/>
      <c r="E364" s="19"/>
      <c r="F364" s="9"/>
      <c r="G364" s="9"/>
      <c r="H364" s="9"/>
      <c r="I364" s="9"/>
      <c r="J364" s="9"/>
    </row>
    <row r="365" spans="1:10" x14ac:dyDescent="0.2">
      <c r="D365" s="5" t="s">
        <v>43</v>
      </c>
      <c r="E365" s="5"/>
      <c r="H365" s="5" t="s">
        <v>42</v>
      </c>
    </row>
    <row r="366" spans="1:10" x14ac:dyDescent="0.2">
      <c r="H366" s="5" t="s">
        <v>41</v>
      </c>
    </row>
    <row r="368" spans="1:10" x14ac:dyDescent="0.2">
      <c r="A368" s="5"/>
    </row>
    <row r="369" spans="1:10" x14ac:dyDescent="0.2">
      <c r="A369" s="5"/>
    </row>
    <row r="374" spans="1:10" x14ac:dyDescent="0.2">
      <c r="C374" s="2"/>
      <c r="D374" s="2"/>
      <c r="E374" s="2"/>
      <c r="F374" s="1" t="s">
        <v>81</v>
      </c>
    </row>
    <row r="375" spans="1:10" x14ac:dyDescent="0.2">
      <c r="F375" s="5" t="s">
        <v>80</v>
      </c>
    </row>
    <row r="376" spans="1:10" ht="18" thickBot="1" x14ac:dyDescent="0.25">
      <c r="B376" s="9"/>
      <c r="C376" s="9"/>
      <c r="D376" s="9"/>
      <c r="E376" s="9"/>
      <c r="F376" s="10" t="s">
        <v>79</v>
      </c>
      <c r="G376" s="9"/>
      <c r="H376" s="9"/>
      <c r="I376" s="9"/>
      <c r="J376" s="9"/>
    </row>
    <row r="377" spans="1:10" x14ac:dyDescent="0.2">
      <c r="E377" s="14"/>
      <c r="F377" s="11"/>
      <c r="G377" s="11"/>
      <c r="H377" s="11"/>
      <c r="I377" s="11"/>
      <c r="J377" s="11"/>
    </row>
    <row r="378" spans="1:10" x14ac:dyDescent="0.2">
      <c r="E378" s="25"/>
      <c r="F378" s="13"/>
      <c r="G378" s="24" t="s">
        <v>104</v>
      </c>
      <c r="H378" s="13"/>
      <c r="I378" s="13"/>
      <c r="J378" s="13"/>
    </row>
    <row r="379" spans="1:10" x14ac:dyDescent="0.2">
      <c r="E379" s="14"/>
      <c r="F379" s="14"/>
      <c r="G379" s="14"/>
      <c r="H379" s="12" t="s">
        <v>76</v>
      </c>
      <c r="I379" s="12" t="s">
        <v>75</v>
      </c>
      <c r="J379" s="12" t="s">
        <v>74</v>
      </c>
    </row>
    <row r="380" spans="1:10" x14ac:dyDescent="0.2">
      <c r="B380" s="13"/>
      <c r="C380" s="13"/>
      <c r="D380" s="13"/>
      <c r="E380" s="15" t="s">
        <v>73</v>
      </c>
      <c r="F380" s="15" t="s">
        <v>72</v>
      </c>
      <c r="G380" s="15" t="s">
        <v>71</v>
      </c>
      <c r="H380" s="23" t="s">
        <v>70</v>
      </c>
      <c r="I380" s="23" t="s">
        <v>69</v>
      </c>
      <c r="J380" s="23" t="s">
        <v>68</v>
      </c>
    </row>
    <row r="381" spans="1:10" x14ac:dyDescent="0.2">
      <c r="E381" s="14"/>
      <c r="F381" s="22" t="s">
        <v>67</v>
      </c>
      <c r="G381" s="22" t="s">
        <v>66</v>
      </c>
      <c r="H381" s="22" t="s">
        <v>66</v>
      </c>
      <c r="I381" s="22" t="s">
        <v>66</v>
      </c>
      <c r="J381" s="22" t="s">
        <v>66</v>
      </c>
    </row>
    <row r="382" spans="1:10" x14ac:dyDescent="0.2">
      <c r="C382" s="5" t="s">
        <v>65</v>
      </c>
      <c r="E382" s="17">
        <v>98</v>
      </c>
      <c r="F382" s="16">
        <v>5305</v>
      </c>
      <c r="G382" s="16">
        <f>16400+0.4</f>
        <v>16400.400000000001</v>
      </c>
      <c r="H382" s="16">
        <f>86893+0.4</f>
        <v>86893.4</v>
      </c>
      <c r="I382" s="16">
        <f>147176+0.4</f>
        <v>147176.4</v>
      </c>
      <c r="J382" s="16">
        <f>54334+0.4</f>
        <v>54334.400000000001</v>
      </c>
    </row>
    <row r="383" spans="1:10" x14ac:dyDescent="0.2">
      <c r="C383" s="5" t="s">
        <v>64</v>
      </c>
      <c r="E383" s="17">
        <v>97</v>
      </c>
      <c r="F383" s="16">
        <v>5237</v>
      </c>
      <c r="G383" s="16">
        <v>17327</v>
      </c>
      <c r="H383" s="16">
        <v>107506</v>
      </c>
      <c r="I383" s="16">
        <v>170737</v>
      </c>
      <c r="J383" s="16">
        <v>57422</v>
      </c>
    </row>
    <row r="384" spans="1:10" x14ac:dyDescent="0.2">
      <c r="C384" s="5" t="s">
        <v>63</v>
      </c>
      <c r="E384" s="17">
        <v>91</v>
      </c>
      <c r="F384" s="16">
        <v>5187</v>
      </c>
      <c r="G384" s="16">
        <v>18209</v>
      </c>
      <c r="H384" s="16">
        <v>110541</v>
      </c>
      <c r="I384" s="16">
        <v>182443</v>
      </c>
      <c r="J384" s="16">
        <v>66826</v>
      </c>
    </row>
    <row r="385" spans="3:10" x14ac:dyDescent="0.2">
      <c r="C385" s="5" t="s">
        <v>62</v>
      </c>
      <c r="E385" s="17">
        <v>89</v>
      </c>
      <c r="F385" s="16">
        <v>5153</v>
      </c>
      <c r="G385" s="16">
        <v>19002</v>
      </c>
      <c r="H385" s="16">
        <v>108169</v>
      </c>
      <c r="I385" s="16">
        <v>189780</v>
      </c>
      <c r="J385" s="16">
        <v>73863</v>
      </c>
    </row>
    <row r="386" spans="3:10" x14ac:dyDescent="0.2">
      <c r="E386" s="14"/>
    </row>
    <row r="387" spans="3:10" x14ac:dyDescent="0.2">
      <c r="C387" s="5" t="s">
        <v>61</v>
      </c>
      <c r="E387" s="17">
        <v>92</v>
      </c>
      <c r="F387" s="16">
        <v>5262</v>
      </c>
      <c r="G387" s="16">
        <v>20185</v>
      </c>
      <c r="H387" s="16">
        <v>109397</v>
      </c>
      <c r="I387" s="16">
        <v>196708</v>
      </c>
      <c r="J387" s="16">
        <v>82231</v>
      </c>
    </row>
    <row r="388" spans="3:10" x14ac:dyDescent="0.2">
      <c r="C388" s="5" t="s">
        <v>60</v>
      </c>
      <c r="E388" s="17">
        <v>86</v>
      </c>
      <c r="F388" s="16">
        <v>5060</v>
      </c>
      <c r="G388" s="16">
        <v>19921</v>
      </c>
      <c r="H388" s="16">
        <v>116495</v>
      </c>
      <c r="I388" s="16">
        <v>208124</v>
      </c>
      <c r="J388" s="16">
        <v>87468</v>
      </c>
    </row>
    <row r="389" spans="3:10" x14ac:dyDescent="0.2">
      <c r="C389" s="5" t="s">
        <v>59</v>
      </c>
      <c r="E389" s="17">
        <v>87</v>
      </c>
      <c r="F389" s="16">
        <v>5160</v>
      </c>
      <c r="G389" s="16">
        <v>21885</v>
      </c>
      <c r="H389" s="16">
        <v>176651</v>
      </c>
      <c r="I389" s="16">
        <v>273425</v>
      </c>
      <c r="J389" s="16">
        <v>84199</v>
      </c>
    </row>
    <row r="390" spans="3:10" x14ac:dyDescent="0.2">
      <c r="C390" s="5" t="s">
        <v>58</v>
      </c>
      <c r="E390" s="17">
        <v>96</v>
      </c>
      <c r="F390" s="16">
        <v>5535</v>
      </c>
      <c r="G390" s="16">
        <v>23743</v>
      </c>
      <c r="H390" s="16">
        <v>130361</v>
      </c>
      <c r="I390" s="16">
        <v>230455</v>
      </c>
      <c r="J390" s="16">
        <v>87485</v>
      </c>
    </row>
    <row r="391" spans="3:10" x14ac:dyDescent="0.2">
      <c r="E391" s="14"/>
    </row>
    <row r="392" spans="3:10" x14ac:dyDescent="0.2">
      <c r="C392" s="5" t="s">
        <v>57</v>
      </c>
      <c r="E392" s="17">
        <v>99</v>
      </c>
      <c r="F392" s="16">
        <v>5846</v>
      </c>
      <c r="G392" s="16">
        <v>24694</v>
      </c>
      <c r="H392" s="16">
        <v>142358</v>
      </c>
      <c r="I392" s="16">
        <v>250578</v>
      </c>
      <c r="J392" s="16">
        <v>94313</v>
      </c>
    </row>
    <row r="393" spans="3:10" x14ac:dyDescent="0.2">
      <c r="C393" s="5" t="s">
        <v>56</v>
      </c>
      <c r="E393" s="17">
        <v>88</v>
      </c>
      <c r="F393" s="16">
        <v>5378</v>
      </c>
      <c r="G393" s="16">
        <v>24915</v>
      </c>
      <c r="H393" s="16">
        <v>139519</v>
      </c>
      <c r="I393" s="16">
        <v>262818</v>
      </c>
      <c r="J393" s="16">
        <v>105925</v>
      </c>
    </row>
    <row r="394" spans="3:10" x14ac:dyDescent="0.2">
      <c r="C394" s="5" t="s">
        <v>55</v>
      </c>
      <c r="E394" s="17">
        <v>84</v>
      </c>
      <c r="F394" s="16">
        <v>5473</v>
      </c>
      <c r="G394" s="16">
        <v>25268</v>
      </c>
      <c r="H394" s="16">
        <v>160369</v>
      </c>
      <c r="I394" s="16">
        <v>309345</v>
      </c>
      <c r="J394" s="16">
        <v>129483</v>
      </c>
    </row>
    <row r="395" spans="3:10" x14ac:dyDescent="0.2">
      <c r="C395" s="5" t="s">
        <v>54</v>
      </c>
      <c r="E395" s="17">
        <v>85</v>
      </c>
      <c r="F395" s="16">
        <v>5415</v>
      </c>
      <c r="G395" s="16">
        <v>26576</v>
      </c>
      <c r="H395" s="16">
        <v>175256</v>
      </c>
      <c r="I395" s="16">
        <v>343379</v>
      </c>
      <c r="J395" s="16">
        <v>147238</v>
      </c>
    </row>
    <row r="396" spans="3:10" x14ac:dyDescent="0.2">
      <c r="E396" s="14"/>
    </row>
    <row r="397" spans="3:10" x14ac:dyDescent="0.2">
      <c r="C397" s="5" t="s">
        <v>53</v>
      </c>
      <c r="E397" s="17">
        <v>83</v>
      </c>
      <c r="F397" s="16">
        <v>5581</v>
      </c>
      <c r="G397" s="16">
        <v>27590</v>
      </c>
      <c r="H397" s="16">
        <v>178348</v>
      </c>
      <c r="I397" s="16">
        <v>338697</v>
      </c>
      <c r="J397" s="16">
        <v>138866</v>
      </c>
    </row>
    <row r="398" spans="3:10" x14ac:dyDescent="0.2">
      <c r="C398" s="5" t="s">
        <v>52</v>
      </c>
      <c r="E398" s="17">
        <v>85</v>
      </c>
      <c r="F398" s="16">
        <v>5388</v>
      </c>
      <c r="G398" s="16">
        <v>27910</v>
      </c>
      <c r="H398" s="16">
        <v>171084</v>
      </c>
      <c r="I398" s="16">
        <f>341581-0.4</f>
        <v>341580.6</v>
      </c>
      <c r="J398" s="16">
        <v>146683</v>
      </c>
    </row>
    <row r="399" spans="3:10" x14ac:dyDescent="0.2">
      <c r="C399" s="5" t="s">
        <v>51</v>
      </c>
      <c r="E399" s="17">
        <v>85</v>
      </c>
      <c r="F399" s="16">
        <v>5373</v>
      </c>
      <c r="G399" s="16">
        <v>29150</v>
      </c>
      <c r="H399" s="16">
        <v>162428</v>
      </c>
      <c r="I399" s="16">
        <v>340517</v>
      </c>
      <c r="J399" s="16">
        <v>152864</v>
      </c>
    </row>
    <row r="400" spans="3:10" x14ac:dyDescent="0.2">
      <c r="C400" s="5" t="s">
        <v>50</v>
      </c>
      <c r="E400" s="17">
        <v>83</v>
      </c>
      <c r="F400" s="16">
        <v>5200</v>
      </c>
      <c r="G400" s="16">
        <v>28845</v>
      </c>
      <c r="H400" s="16">
        <v>153006</v>
      </c>
      <c r="I400" s="16">
        <v>331380</v>
      </c>
      <c r="J400" s="16">
        <v>150463</v>
      </c>
    </row>
    <row r="401" spans="2:10" x14ac:dyDescent="0.2">
      <c r="E401" s="14"/>
    </row>
    <row r="402" spans="2:10" x14ac:dyDescent="0.2">
      <c r="C402" s="5" t="s">
        <v>49</v>
      </c>
      <c r="E402" s="17">
        <v>79</v>
      </c>
      <c r="F402" s="16">
        <v>4874</v>
      </c>
      <c r="G402" s="16">
        <v>27489</v>
      </c>
      <c r="H402" s="16">
        <v>159663</v>
      </c>
      <c r="I402" s="16">
        <v>340133</v>
      </c>
      <c r="J402" s="16">
        <v>163411</v>
      </c>
    </row>
    <row r="403" spans="2:10" x14ac:dyDescent="0.2">
      <c r="C403" s="5" t="s">
        <v>48</v>
      </c>
      <c r="E403" s="17">
        <v>81</v>
      </c>
      <c r="F403" s="16">
        <v>5140</v>
      </c>
      <c r="G403" s="16">
        <v>29915</v>
      </c>
      <c r="H403" s="16">
        <v>158869</v>
      </c>
      <c r="I403" s="16">
        <v>344052</v>
      </c>
      <c r="J403" s="16">
        <v>159549</v>
      </c>
    </row>
    <row r="404" spans="2:10" x14ac:dyDescent="0.2">
      <c r="C404" s="5" t="s">
        <v>47</v>
      </c>
      <c r="E404" s="17">
        <v>79</v>
      </c>
      <c r="F404" s="16">
        <v>5175</v>
      </c>
      <c r="G404" s="16">
        <v>30803</v>
      </c>
      <c r="H404" s="16">
        <v>179446</v>
      </c>
      <c r="I404" s="16">
        <v>380763</v>
      </c>
      <c r="J404" s="16">
        <v>172221</v>
      </c>
    </row>
    <row r="405" spans="2:10" x14ac:dyDescent="0.2">
      <c r="C405" s="5" t="s">
        <v>45</v>
      </c>
      <c r="D405" s="2"/>
      <c r="E405" s="17">
        <v>87</v>
      </c>
      <c r="F405" s="16">
        <v>5144</v>
      </c>
      <c r="G405" s="16">
        <v>32712</v>
      </c>
      <c r="H405" s="16">
        <v>154733</v>
      </c>
      <c r="I405" s="16">
        <v>361801</v>
      </c>
      <c r="J405" s="16">
        <v>182799</v>
      </c>
    </row>
    <row r="406" spans="2:10" x14ac:dyDescent="0.2">
      <c r="C406" s="1" t="s">
        <v>44</v>
      </c>
      <c r="D406" s="2"/>
      <c r="E406" s="3">
        <v>83</v>
      </c>
      <c r="F406" s="20">
        <v>4958</v>
      </c>
      <c r="G406" s="20">
        <v>30294</v>
      </c>
      <c r="H406" s="20">
        <v>141674</v>
      </c>
      <c r="I406" s="20">
        <v>346152</v>
      </c>
      <c r="J406" s="20">
        <v>176043</v>
      </c>
    </row>
    <row r="407" spans="2:10" ht="18" thickBot="1" x14ac:dyDescent="0.25">
      <c r="B407" s="9"/>
      <c r="C407" s="9"/>
      <c r="D407" s="9"/>
      <c r="E407" s="19"/>
      <c r="F407" s="9"/>
      <c r="G407" s="9"/>
      <c r="H407" s="9"/>
      <c r="I407" s="9"/>
      <c r="J407" s="9"/>
    </row>
    <row r="408" spans="2:10" x14ac:dyDescent="0.2">
      <c r="E408" s="14"/>
      <c r="F408" s="11"/>
      <c r="G408" s="11"/>
      <c r="H408" s="11"/>
      <c r="I408" s="11"/>
      <c r="J408" s="11"/>
    </row>
    <row r="409" spans="2:10" x14ac:dyDescent="0.2">
      <c r="E409" s="25"/>
      <c r="F409" s="13"/>
      <c r="G409" s="24" t="s">
        <v>103</v>
      </c>
      <c r="H409" s="13"/>
      <c r="I409" s="13"/>
      <c r="J409" s="13"/>
    </row>
    <row r="410" spans="2:10" x14ac:dyDescent="0.2">
      <c r="E410" s="14"/>
      <c r="F410" s="14"/>
      <c r="G410" s="14"/>
      <c r="H410" s="12" t="s">
        <v>76</v>
      </c>
      <c r="I410" s="12" t="s">
        <v>75</v>
      </c>
      <c r="J410" s="12" t="s">
        <v>74</v>
      </c>
    </row>
    <row r="411" spans="2:10" x14ac:dyDescent="0.2">
      <c r="B411" s="13"/>
      <c r="C411" s="13"/>
      <c r="D411" s="13"/>
      <c r="E411" s="15" t="s">
        <v>73</v>
      </c>
      <c r="F411" s="15" t="s">
        <v>72</v>
      </c>
      <c r="G411" s="15" t="s">
        <v>71</v>
      </c>
      <c r="H411" s="23" t="s">
        <v>70</v>
      </c>
      <c r="I411" s="23" t="s">
        <v>69</v>
      </c>
      <c r="J411" s="23" t="s">
        <v>68</v>
      </c>
    </row>
    <row r="412" spans="2:10" x14ac:dyDescent="0.2">
      <c r="E412" s="14"/>
      <c r="F412" s="22" t="s">
        <v>67</v>
      </c>
      <c r="G412" s="22" t="s">
        <v>66</v>
      </c>
      <c r="H412" s="22" t="s">
        <v>66</v>
      </c>
      <c r="I412" s="22" t="s">
        <v>66</v>
      </c>
      <c r="J412" s="22" t="s">
        <v>66</v>
      </c>
    </row>
    <row r="413" spans="2:10" x14ac:dyDescent="0.2">
      <c r="C413" s="5" t="s">
        <v>65</v>
      </c>
      <c r="E413" s="17">
        <v>11</v>
      </c>
      <c r="F413" s="16">
        <v>3226</v>
      </c>
      <c r="G413" s="16">
        <f>13474+0.4</f>
        <v>13474.4</v>
      </c>
      <c r="H413" s="16">
        <f>584303+0.4</f>
        <v>584303.4</v>
      </c>
      <c r="I413" s="16">
        <f>720296+0.4</f>
        <v>720296.4</v>
      </c>
      <c r="J413" s="16">
        <f>87363+0.4</f>
        <v>87363.4</v>
      </c>
    </row>
    <row r="414" spans="2:10" x14ac:dyDescent="0.2">
      <c r="C414" s="5" t="s">
        <v>64</v>
      </c>
      <c r="E414" s="17">
        <v>12</v>
      </c>
      <c r="F414" s="16">
        <v>3206</v>
      </c>
      <c r="G414" s="16">
        <v>15203</v>
      </c>
      <c r="H414" s="16">
        <v>918890</v>
      </c>
      <c r="I414" s="16">
        <v>1067670</v>
      </c>
      <c r="J414" s="16">
        <v>100314</v>
      </c>
    </row>
    <row r="415" spans="2:10" x14ac:dyDescent="0.2">
      <c r="C415" s="5" t="s">
        <v>63</v>
      </c>
      <c r="E415" s="17">
        <v>8</v>
      </c>
      <c r="F415" s="16">
        <v>3100</v>
      </c>
      <c r="G415" s="16">
        <v>15190</v>
      </c>
      <c r="H415" s="16">
        <v>923472</v>
      </c>
      <c r="I415" s="16">
        <v>1076520</v>
      </c>
      <c r="J415" s="16">
        <v>96624</v>
      </c>
    </row>
    <row r="416" spans="2:10" x14ac:dyDescent="0.2">
      <c r="C416" s="5" t="s">
        <v>62</v>
      </c>
      <c r="E416" s="17">
        <v>7</v>
      </c>
      <c r="F416" s="16">
        <v>2920</v>
      </c>
      <c r="G416" s="16">
        <v>16180</v>
      </c>
      <c r="H416" s="16">
        <v>904938</v>
      </c>
      <c r="I416" s="16">
        <v>1047986</v>
      </c>
      <c r="J416" s="16">
        <v>85145</v>
      </c>
    </row>
    <row r="417" spans="3:10" x14ac:dyDescent="0.2">
      <c r="E417" s="14"/>
    </row>
    <row r="418" spans="3:10" x14ac:dyDescent="0.2">
      <c r="C418" s="5" t="s">
        <v>61</v>
      </c>
      <c r="E418" s="17">
        <v>9</v>
      </c>
      <c r="F418" s="16">
        <v>2654</v>
      </c>
      <c r="G418" s="16">
        <v>13753</v>
      </c>
      <c r="H418" s="16">
        <v>764260</v>
      </c>
      <c r="I418" s="16">
        <v>847995</v>
      </c>
      <c r="J418" s="16">
        <v>33913</v>
      </c>
    </row>
    <row r="419" spans="3:10" x14ac:dyDescent="0.2">
      <c r="C419" s="5" t="s">
        <v>60</v>
      </c>
      <c r="E419" s="17">
        <v>9</v>
      </c>
      <c r="F419" s="16">
        <v>2452</v>
      </c>
      <c r="G419" s="16">
        <v>13256</v>
      </c>
      <c r="H419" s="16">
        <v>749493</v>
      </c>
      <c r="I419" s="16">
        <v>888908</v>
      </c>
      <c r="J419" s="16">
        <v>84232</v>
      </c>
    </row>
    <row r="420" spans="3:10" x14ac:dyDescent="0.2">
      <c r="C420" s="5" t="s">
        <v>59</v>
      </c>
      <c r="E420" s="17">
        <v>7</v>
      </c>
      <c r="F420" s="16">
        <v>2195</v>
      </c>
      <c r="G420" s="16">
        <v>12828</v>
      </c>
      <c r="H420" s="16">
        <v>635200</v>
      </c>
      <c r="I420" s="16">
        <v>770508</v>
      </c>
      <c r="J420" s="16">
        <v>67347</v>
      </c>
    </row>
    <row r="421" spans="3:10" x14ac:dyDescent="0.2">
      <c r="C421" s="5" t="s">
        <v>58</v>
      </c>
      <c r="E421" s="17">
        <v>8</v>
      </c>
      <c r="F421" s="16">
        <v>2038</v>
      </c>
      <c r="G421" s="16">
        <v>12199</v>
      </c>
      <c r="H421" s="16">
        <v>297494</v>
      </c>
      <c r="I421" s="16">
        <v>480538</v>
      </c>
      <c r="J421" s="16">
        <v>89367</v>
      </c>
    </row>
    <row r="422" spans="3:10" x14ac:dyDescent="0.2">
      <c r="E422" s="14"/>
    </row>
    <row r="423" spans="3:10" x14ac:dyDescent="0.2">
      <c r="C423" s="5" t="s">
        <v>57</v>
      </c>
      <c r="E423" s="17">
        <v>7</v>
      </c>
      <c r="F423" s="16">
        <v>1146</v>
      </c>
      <c r="G423" s="16">
        <v>8361</v>
      </c>
      <c r="H423" s="16">
        <v>260288</v>
      </c>
      <c r="I423" s="16">
        <v>394777</v>
      </c>
      <c r="J423" s="16">
        <v>42222</v>
      </c>
    </row>
    <row r="424" spans="3:10" x14ac:dyDescent="0.2">
      <c r="C424" s="5" t="s">
        <v>56</v>
      </c>
      <c r="E424" s="17">
        <v>9</v>
      </c>
      <c r="F424" s="16">
        <v>1279</v>
      </c>
      <c r="G424" s="16">
        <v>9498</v>
      </c>
      <c r="H424" s="16">
        <v>204200</v>
      </c>
      <c r="I424" s="16">
        <v>364501</v>
      </c>
      <c r="J424" s="16">
        <v>56023</v>
      </c>
    </row>
    <row r="425" spans="3:10" x14ac:dyDescent="0.2">
      <c r="C425" s="5" t="s">
        <v>55</v>
      </c>
      <c r="E425" s="17">
        <v>10</v>
      </c>
      <c r="F425" s="16">
        <v>1204</v>
      </c>
      <c r="G425" s="16">
        <v>9160</v>
      </c>
      <c r="H425" s="16">
        <v>256337</v>
      </c>
      <c r="I425" s="16">
        <v>399372</v>
      </c>
      <c r="J425" s="16">
        <v>32936</v>
      </c>
    </row>
    <row r="426" spans="3:10" x14ac:dyDescent="0.2">
      <c r="C426" s="5" t="s">
        <v>54</v>
      </c>
      <c r="E426" s="17">
        <v>11</v>
      </c>
      <c r="F426" s="16">
        <v>1181</v>
      </c>
      <c r="G426" s="16">
        <v>9249</v>
      </c>
      <c r="H426" s="16">
        <v>326635</v>
      </c>
      <c r="I426" s="16">
        <v>447133</v>
      </c>
      <c r="J426" s="16">
        <v>12901</v>
      </c>
    </row>
    <row r="427" spans="3:10" x14ac:dyDescent="0.2">
      <c r="E427" s="14"/>
    </row>
    <row r="428" spans="3:10" x14ac:dyDescent="0.2">
      <c r="C428" s="5" t="s">
        <v>53</v>
      </c>
      <c r="E428" s="17">
        <v>12</v>
      </c>
      <c r="F428" s="16">
        <v>1164</v>
      </c>
      <c r="G428" s="16">
        <v>8966</v>
      </c>
      <c r="H428" s="16">
        <v>296064</v>
      </c>
      <c r="I428" s="16">
        <v>432262</v>
      </c>
      <c r="J428" s="16">
        <v>21278</v>
      </c>
    </row>
    <row r="429" spans="3:10" x14ac:dyDescent="0.2">
      <c r="C429" s="5" t="s">
        <v>52</v>
      </c>
      <c r="E429" s="17">
        <v>11</v>
      </c>
      <c r="F429" s="16">
        <v>1184</v>
      </c>
      <c r="G429" s="16">
        <v>9366</v>
      </c>
      <c r="H429" s="16">
        <v>221203</v>
      </c>
      <c r="I429" s="16">
        <f>364065-0.4</f>
        <v>364064.6</v>
      </c>
      <c r="J429" s="16">
        <v>22639</v>
      </c>
    </row>
    <row r="430" spans="3:10" x14ac:dyDescent="0.2">
      <c r="C430" s="5" t="s">
        <v>51</v>
      </c>
      <c r="E430" s="17">
        <v>11</v>
      </c>
      <c r="F430" s="16">
        <v>1221</v>
      </c>
      <c r="G430" s="16">
        <v>9326</v>
      </c>
      <c r="H430" s="16">
        <v>189912</v>
      </c>
      <c r="I430" s="16">
        <v>339945</v>
      </c>
      <c r="J430" s="16">
        <f>51724+0.3</f>
        <v>51724.3</v>
      </c>
    </row>
    <row r="431" spans="3:10" x14ac:dyDescent="0.2">
      <c r="C431" s="5" t="s">
        <v>50</v>
      </c>
      <c r="E431" s="17">
        <v>10</v>
      </c>
      <c r="F431" s="16">
        <v>1229</v>
      </c>
      <c r="G431" s="16">
        <v>9860</v>
      </c>
      <c r="H431" s="16">
        <v>196906</v>
      </c>
      <c r="I431" s="16">
        <v>321757</v>
      </c>
      <c r="J431" s="16">
        <v>26691</v>
      </c>
    </row>
    <row r="432" spans="3:10" x14ac:dyDescent="0.2">
      <c r="E432" s="14"/>
    </row>
    <row r="433" spans="1:10" x14ac:dyDescent="0.2">
      <c r="C433" s="5" t="s">
        <v>49</v>
      </c>
      <c r="E433" s="17">
        <v>10</v>
      </c>
      <c r="F433" s="16">
        <v>1195</v>
      </c>
      <c r="G433" s="16">
        <v>9925</v>
      </c>
      <c r="H433" s="16">
        <v>190270</v>
      </c>
      <c r="I433" s="16">
        <v>313367</v>
      </c>
      <c r="J433" s="16">
        <v>30683</v>
      </c>
    </row>
    <row r="434" spans="1:10" x14ac:dyDescent="0.2">
      <c r="C434" s="5" t="s">
        <v>48</v>
      </c>
      <c r="E434" s="17">
        <v>10</v>
      </c>
      <c r="F434" s="16">
        <v>1186</v>
      </c>
      <c r="G434" s="16">
        <v>9854</v>
      </c>
      <c r="H434" s="16">
        <v>250642</v>
      </c>
      <c r="I434" s="16">
        <v>388388</v>
      </c>
      <c r="J434" s="16">
        <v>19856</v>
      </c>
    </row>
    <row r="435" spans="1:10" x14ac:dyDescent="0.2">
      <c r="C435" s="5" t="s">
        <v>47</v>
      </c>
      <c r="E435" s="17">
        <v>8</v>
      </c>
      <c r="F435" s="16">
        <v>1009</v>
      </c>
      <c r="G435" s="16">
        <v>9201</v>
      </c>
      <c r="H435" s="16">
        <v>239880</v>
      </c>
      <c r="I435" s="16">
        <v>380271</v>
      </c>
      <c r="J435" s="16">
        <v>11366</v>
      </c>
    </row>
    <row r="436" spans="1:10" x14ac:dyDescent="0.2">
      <c r="C436" s="5" t="s">
        <v>45</v>
      </c>
      <c r="D436" s="2"/>
      <c r="E436" s="17">
        <v>9</v>
      </c>
      <c r="F436" s="16">
        <v>1082</v>
      </c>
      <c r="G436" s="16">
        <v>9358</v>
      </c>
      <c r="H436" s="16">
        <v>183396</v>
      </c>
      <c r="I436" s="16">
        <v>334631</v>
      </c>
      <c r="J436" s="16">
        <v>504</v>
      </c>
    </row>
    <row r="437" spans="1:10" x14ac:dyDescent="0.2">
      <c r="C437" s="1" t="s">
        <v>44</v>
      </c>
      <c r="D437" s="2"/>
      <c r="E437" s="3">
        <v>10</v>
      </c>
      <c r="F437" s="20">
        <v>938</v>
      </c>
      <c r="G437" s="20">
        <v>11072</v>
      </c>
      <c r="H437" s="20">
        <v>227937</v>
      </c>
      <c r="I437" s="20">
        <v>384970</v>
      </c>
      <c r="J437" s="20">
        <v>26027</v>
      </c>
    </row>
    <row r="438" spans="1:10" ht="18" thickBot="1" x14ac:dyDescent="0.25">
      <c r="B438" s="9"/>
      <c r="C438" s="9"/>
      <c r="D438" s="9"/>
      <c r="E438" s="19"/>
      <c r="F438" s="9"/>
      <c r="G438" s="9"/>
      <c r="H438" s="9"/>
      <c r="I438" s="9"/>
      <c r="J438" s="9"/>
    </row>
    <row r="439" spans="1:10" x14ac:dyDescent="0.2">
      <c r="D439" s="5" t="s">
        <v>43</v>
      </c>
      <c r="E439" s="5"/>
      <c r="H439" s="5" t="s">
        <v>42</v>
      </c>
    </row>
    <row r="440" spans="1:10" x14ac:dyDescent="0.2">
      <c r="H440" s="5" t="s">
        <v>41</v>
      </c>
    </row>
    <row r="442" spans="1:10" x14ac:dyDescent="0.2">
      <c r="A442" s="5"/>
    </row>
    <row r="443" spans="1:10" x14ac:dyDescent="0.2">
      <c r="A443" s="5"/>
    </row>
    <row r="448" spans="1:10" x14ac:dyDescent="0.2">
      <c r="C448" s="2"/>
      <c r="D448" s="2"/>
      <c r="E448" s="2"/>
      <c r="F448" s="1" t="s">
        <v>81</v>
      </c>
    </row>
    <row r="449" spans="2:10" x14ac:dyDescent="0.2">
      <c r="F449" s="5" t="s">
        <v>80</v>
      </c>
    </row>
    <row r="450" spans="2:10" ht="18" thickBot="1" x14ac:dyDescent="0.25">
      <c r="B450" s="9"/>
      <c r="C450" s="9"/>
      <c r="D450" s="9"/>
      <c r="E450" s="9"/>
      <c r="F450" s="10" t="s">
        <v>79</v>
      </c>
      <c r="G450" s="9"/>
      <c r="H450" s="9"/>
      <c r="I450" s="9"/>
      <c r="J450" s="9"/>
    </row>
    <row r="451" spans="2:10" x14ac:dyDescent="0.2">
      <c r="E451" s="14"/>
      <c r="F451" s="11"/>
      <c r="G451" s="27" t="s">
        <v>74</v>
      </c>
      <c r="H451" s="11"/>
      <c r="I451" s="11"/>
      <c r="J451" s="11"/>
    </row>
    <row r="452" spans="2:10" x14ac:dyDescent="0.2">
      <c r="E452" s="25"/>
      <c r="F452" s="13"/>
      <c r="G452" s="24" t="s">
        <v>102</v>
      </c>
      <c r="H452" s="13"/>
      <c r="I452" s="13"/>
      <c r="J452" s="13"/>
    </row>
    <row r="453" spans="2:10" x14ac:dyDescent="0.2">
      <c r="E453" s="14"/>
      <c r="F453" s="14"/>
      <c r="G453" s="14"/>
      <c r="H453" s="12" t="s">
        <v>76</v>
      </c>
      <c r="I453" s="12" t="s">
        <v>75</v>
      </c>
      <c r="J453" s="12" t="s">
        <v>99</v>
      </c>
    </row>
    <row r="454" spans="2:10" x14ac:dyDescent="0.2">
      <c r="B454" s="13"/>
      <c r="C454" s="13"/>
      <c r="D454" s="13"/>
      <c r="E454" s="15" t="s">
        <v>73</v>
      </c>
      <c r="F454" s="15" t="s">
        <v>72</v>
      </c>
      <c r="G454" s="15" t="s">
        <v>71</v>
      </c>
      <c r="H454" s="23" t="s">
        <v>70</v>
      </c>
      <c r="I454" s="23" t="s">
        <v>69</v>
      </c>
      <c r="J454" s="23" t="s">
        <v>68</v>
      </c>
    </row>
    <row r="455" spans="2:10" x14ac:dyDescent="0.2">
      <c r="E455" s="14"/>
      <c r="F455" s="22" t="s">
        <v>67</v>
      </c>
      <c r="G455" s="22" t="s">
        <v>66</v>
      </c>
      <c r="H455" s="22" t="s">
        <v>66</v>
      </c>
      <c r="I455" s="22" t="s">
        <v>66</v>
      </c>
      <c r="J455" s="22" t="s">
        <v>66</v>
      </c>
    </row>
    <row r="456" spans="2:10" x14ac:dyDescent="0.2">
      <c r="C456" s="5" t="s">
        <v>98</v>
      </c>
      <c r="E456" s="26" t="s">
        <v>101</v>
      </c>
      <c r="F456" s="21" t="s">
        <v>101</v>
      </c>
      <c r="G456" s="21" t="s">
        <v>101</v>
      </c>
      <c r="H456" s="21" t="s">
        <v>101</v>
      </c>
      <c r="I456" s="21" t="s">
        <v>101</v>
      </c>
      <c r="J456" s="21" t="s">
        <v>101</v>
      </c>
    </row>
    <row r="457" spans="2:10" x14ac:dyDescent="0.2">
      <c r="C457" s="5" t="s">
        <v>97</v>
      </c>
      <c r="E457" s="26" t="s">
        <v>101</v>
      </c>
      <c r="F457" s="21" t="s">
        <v>101</v>
      </c>
      <c r="G457" s="21" t="s">
        <v>101</v>
      </c>
      <c r="H457" s="21" t="s">
        <v>101</v>
      </c>
      <c r="I457" s="21" t="s">
        <v>101</v>
      </c>
      <c r="J457" s="21" t="s">
        <v>101</v>
      </c>
    </row>
    <row r="458" spans="2:10" x14ac:dyDescent="0.2">
      <c r="C458" s="5" t="s">
        <v>63</v>
      </c>
      <c r="E458" s="26" t="s">
        <v>101</v>
      </c>
      <c r="F458" s="21" t="s">
        <v>101</v>
      </c>
      <c r="G458" s="21" t="s">
        <v>101</v>
      </c>
      <c r="H458" s="21" t="s">
        <v>101</v>
      </c>
      <c r="I458" s="21" t="s">
        <v>101</v>
      </c>
      <c r="J458" s="21" t="s">
        <v>101</v>
      </c>
    </row>
    <row r="459" spans="2:10" x14ac:dyDescent="0.2">
      <c r="C459" s="5" t="s">
        <v>62</v>
      </c>
      <c r="E459" s="26" t="s">
        <v>101</v>
      </c>
      <c r="F459" s="21" t="s">
        <v>101</v>
      </c>
      <c r="G459" s="21" t="s">
        <v>101</v>
      </c>
      <c r="H459" s="21" t="s">
        <v>101</v>
      </c>
      <c r="I459" s="21" t="s">
        <v>101</v>
      </c>
      <c r="J459" s="21" t="s">
        <v>101</v>
      </c>
    </row>
    <row r="460" spans="2:10" x14ac:dyDescent="0.2">
      <c r="E460" s="14"/>
    </row>
    <row r="461" spans="2:10" x14ac:dyDescent="0.2">
      <c r="C461" s="5" t="s">
        <v>61</v>
      </c>
      <c r="E461" s="26" t="s">
        <v>101</v>
      </c>
      <c r="F461" s="21" t="s">
        <v>101</v>
      </c>
      <c r="G461" s="21" t="s">
        <v>101</v>
      </c>
      <c r="H461" s="21" t="s">
        <v>101</v>
      </c>
      <c r="I461" s="21" t="s">
        <v>101</v>
      </c>
      <c r="J461" s="21" t="s">
        <v>101</v>
      </c>
    </row>
    <row r="462" spans="2:10" x14ac:dyDescent="0.2">
      <c r="C462" s="5" t="s">
        <v>60</v>
      </c>
      <c r="E462" s="26" t="s">
        <v>101</v>
      </c>
      <c r="F462" s="21" t="s">
        <v>101</v>
      </c>
      <c r="G462" s="21" t="s">
        <v>101</v>
      </c>
      <c r="H462" s="21" t="s">
        <v>101</v>
      </c>
      <c r="I462" s="21" t="s">
        <v>101</v>
      </c>
      <c r="J462" s="21" t="s">
        <v>101</v>
      </c>
    </row>
    <row r="463" spans="2:10" x14ac:dyDescent="0.2">
      <c r="C463" s="5" t="s">
        <v>59</v>
      </c>
      <c r="E463" s="17">
        <v>139</v>
      </c>
      <c r="F463" s="16">
        <v>2040</v>
      </c>
      <c r="G463" s="16">
        <v>4473</v>
      </c>
      <c r="H463" s="16">
        <v>19597</v>
      </c>
      <c r="I463" s="16">
        <v>31619</v>
      </c>
      <c r="J463" s="16">
        <v>11874</v>
      </c>
    </row>
    <row r="464" spans="2:10" x14ac:dyDescent="0.2">
      <c r="C464" s="5" t="s">
        <v>58</v>
      </c>
      <c r="E464" s="17">
        <v>147</v>
      </c>
      <c r="F464" s="16">
        <v>2156</v>
      </c>
      <c r="G464" s="16">
        <v>4740</v>
      </c>
      <c r="H464" s="16">
        <v>21506</v>
      </c>
      <c r="I464" s="16">
        <v>33853</v>
      </c>
      <c r="J464" s="16">
        <v>11951</v>
      </c>
    </row>
    <row r="465" spans="3:10" x14ac:dyDescent="0.2">
      <c r="E465" s="14"/>
    </row>
    <row r="466" spans="3:10" x14ac:dyDescent="0.2">
      <c r="C466" s="5" t="s">
        <v>57</v>
      </c>
      <c r="E466" s="17">
        <v>143</v>
      </c>
      <c r="F466" s="16">
        <v>2190</v>
      </c>
      <c r="G466" s="16">
        <v>5590</v>
      </c>
      <c r="H466" s="16">
        <v>21452</v>
      </c>
      <c r="I466" s="16">
        <v>35584</v>
      </c>
      <c r="J466" s="16">
        <v>13492</v>
      </c>
    </row>
    <row r="467" spans="3:10" x14ac:dyDescent="0.2">
      <c r="C467" s="5" t="s">
        <v>56</v>
      </c>
      <c r="E467" s="17">
        <v>148</v>
      </c>
      <c r="F467" s="16">
        <v>2347</v>
      </c>
      <c r="G467" s="16">
        <v>5862</v>
      </c>
      <c r="H467" s="16">
        <v>24116</v>
      </c>
      <c r="I467" s="16">
        <v>38568</v>
      </c>
      <c r="J467" s="16">
        <v>13937</v>
      </c>
    </row>
    <row r="468" spans="3:10" x14ac:dyDescent="0.2">
      <c r="C468" s="5" t="s">
        <v>55</v>
      </c>
      <c r="E468" s="17">
        <v>142</v>
      </c>
      <c r="F468" s="16">
        <v>2298</v>
      </c>
      <c r="G468" s="16">
        <v>5884</v>
      </c>
      <c r="H468" s="16">
        <v>23955</v>
      </c>
      <c r="I468" s="16">
        <v>39822</v>
      </c>
      <c r="J468" s="16">
        <v>14995</v>
      </c>
    </row>
    <row r="469" spans="3:10" x14ac:dyDescent="0.2">
      <c r="C469" s="5" t="s">
        <v>54</v>
      </c>
      <c r="E469" s="17">
        <v>157</v>
      </c>
      <c r="F469" s="16">
        <v>2636</v>
      </c>
      <c r="G469" s="16">
        <v>6882</v>
      </c>
      <c r="H469" s="16">
        <v>27398</v>
      </c>
      <c r="I469" s="16">
        <v>45560</v>
      </c>
      <c r="J469" s="16">
        <v>17282</v>
      </c>
    </row>
    <row r="470" spans="3:10" x14ac:dyDescent="0.2">
      <c r="E470" s="14"/>
    </row>
    <row r="471" spans="3:10" x14ac:dyDescent="0.2">
      <c r="C471" s="5" t="s">
        <v>53</v>
      </c>
      <c r="E471" s="17">
        <v>147</v>
      </c>
      <c r="F471" s="16">
        <v>2597</v>
      </c>
      <c r="G471" s="16">
        <v>7755</v>
      </c>
      <c r="H471" s="16">
        <v>28246</v>
      </c>
      <c r="I471" s="16">
        <v>48468</v>
      </c>
      <c r="J471" s="16">
        <v>19134</v>
      </c>
    </row>
    <row r="472" spans="3:10" x14ac:dyDescent="0.2">
      <c r="C472" s="5" t="s">
        <v>52</v>
      </c>
      <c r="E472" s="17">
        <v>142</v>
      </c>
      <c r="F472" s="16">
        <v>2557</v>
      </c>
      <c r="G472" s="16">
        <v>7761</v>
      </c>
      <c r="H472" s="16">
        <v>27609</v>
      </c>
      <c r="I472" s="16">
        <v>47465</v>
      </c>
      <c r="J472" s="16">
        <v>18736</v>
      </c>
    </row>
    <row r="473" spans="3:10" x14ac:dyDescent="0.2">
      <c r="C473" s="5" t="s">
        <v>51</v>
      </c>
      <c r="E473" s="17">
        <v>146</v>
      </c>
      <c r="F473" s="16">
        <v>2635</v>
      </c>
      <c r="G473" s="16">
        <v>8426</v>
      </c>
      <c r="H473" s="16">
        <v>28306</v>
      </c>
      <c r="I473" s="16">
        <v>49806</v>
      </c>
      <c r="J473" s="16">
        <v>20131</v>
      </c>
    </row>
    <row r="474" spans="3:10" x14ac:dyDescent="0.2">
      <c r="C474" s="5" t="s">
        <v>50</v>
      </c>
      <c r="E474" s="17">
        <v>135</v>
      </c>
      <c r="F474" s="16">
        <v>2571</v>
      </c>
      <c r="G474" s="16">
        <v>8538</v>
      </c>
      <c r="H474" s="16">
        <v>27260</v>
      </c>
      <c r="I474" s="16">
        <v>47641</v>
      </c>
      <c r="J474" s="16">
        <v>18589</v>
      </c>
    </row>
    <row r="475" spans="3:10" x14ac:dyDescent="0.2">
      <c r="E475" s="14"/>
    </row>
    <row r="476" spans="3:10" x14ac:dyDescent="0.2">
      <c r="C476" s="5" t="s">
        <v>49</v>
      </c>
      <c r="E476" s="17">
        <v>132</v>
      </c>
      <c r="F476" s="16">
        <v>2484</v>
      </c>
      <c r="G476" s="16">
        <v>8316</v>
      </c>
      <c r="H476" s="16">
        <v>26139</v>
      </c>
      <c r="I476" s="16">
        <v>47042</v>
      </c>
      <c r="J476" s="16">
        <v>19051</v>
      </c>
    </row>
    <row r="477" spans="3:10" x14ac:dyDescent="0.2">
      <c r="C477" s="5" t="s">
        <v>48</v>
      </c>
      <c r="E477" s="17">
        <v>123</v>
      </c>
      <c r="F477" s="16">
        <v>2486</v>
      </c>
      <c r="G477" s="16">
        <v>8523</v>
      </c>
      <c r="H477" s="16">
        <v>27245</v>
      </c>
      <c r="I477" s="16">
        <v>49843</v>
      </c>
      <c r="J477" s="16">
        <v>20898</v>
      </c>
    </row>
    <row r="478" spans="3:10" x14ac:dyDescent="0.2">
      <c r="C478" s="5" t="s">
        <v>47</v>
      </c>
      <c r="E478" s="17">
        <v>111</v>
      </c>
      <c r="F478" s="16">
        <v>2407</v>
      </c>
      <c r="G478" s="16">
        <v>8424</v>
      </c>
      <c r="H478" s="16">
        <v>25842</v>
      </c>
      <c r="I478" s="16">
        <v>48177</v>
      </c>
      <c r="J478" s="16">
        <v>20319</v>
      </c>
    </row>
    <row r="479" spans="3:10" x14ac:dyDescent="0.2">
      <c r="C479" s="5" t="s">
        <v>45</v>
      </c>
      <c r="D479" s="2"/>
      <c r="E479" s="17">
        <v>125</v>
      </c>
      <c r="F479" s="16">
        <v>2475</v>
      </c>
      <c r="G479" s="16">
        <v>8034</v>
      </c>
      <c r="H479" s="16">
        <v>24280</v>
      </c>
      <c r="I479" s="16">
        <v>45430</v>
      </c>
      <c r="J479" s="16">
        <v>19120</v>
      </c>
    </row>
    <row r="480" spans="3:10" x14ac:dyDescent="0.2">
      <c r="C480" s="1" t="s">
        <v>44</v>
      </c>
      <c r="D480" s="2"/>
      <c r="E480" s="3">
        <v>119</v>
      </c>
      <c r="F480" s="20">
        <v>2300</v>
      </c>
      <c r="G480" s="20">
        <v>7461</v>
      </c>
      <c r="H480" s="20">
        <v>26054</v>
      </c>
      <c r="I480" s="20">
        <v>46825</v>
      </c>
      <c r="J480" s="20">
        <v>18487</v>
      </c>
    </row>
    <row r="481" spans="2:10" ht="18" thickBot="1" x14ac:dyDescent="0.25">
      <c r="B481" s="9"/>
      <c r="C481" s="9"/>
      <c r="D481" s="9"/>
      <c r="E481" s="19"/>
      <c r="F481" s="9"/>
      <c r="G481" s="9"/>
      <c r="H481" s="9"/>
      <c r="I481" s="9"/>
      <c r="J481" s="9"/>
    </row>
    <row r="482" spans="2:10" x14ac:dyDescent="0.2">
      <c r="E482" s="14"/>
      <c r="F482" s="11"/>
      <c r="G482" s="11"/>
      <c r="H482" s="11"/>
      <c r="I482" s="11"/>
      <c r="J482" s="11"/>
    </row>
    <row r="483" spans="2:10" x14ac:dyDescent="0.2">
      <c r="E483" s="25"/>
      <c r="F483" s="13"/>
      <c r="G483" s="24" t="s">
        <v>100</v>
      </c>
      <c r="H483" s="13"/>
      <c r="I483" s="13"/>
      <c r="J483" s="13"/>
    </row>
    <row r="484" spans="2:10" x14ac:dyDescent="0.2">
      <c r="E484" s="14"/>
      <c r="F484" s="14"/>
      <c r="G484" s="14"/>
      <c r="H484" s="12" t="s">
        <v>76</v>
      </c>
      <c r="I484" s="12" t="s">
        <v>75</v>
      </c>
      <c r="J484" s="12" t="s">
        <v>99</v>
      </c>
    </row>
    <row r="485" spans="2:10" x14ac:dyDescent="0.2">
      <c r="B485" s="13"/>
      <c r="C485" s="13"/>
      <c r="D485" s="13"/>
      <c r="E485" s="15" t="s">
        <v>73</v>
      </c>
      <c r="F485" s="15" t="s">
        <v>72</v>
      </c>
      <c r="G485" s="15" t="s">
        <v>71</v>
      </c>
      <c r="H485" s="23" t="s">
        <v>70</v>
      </c>
      <c r="I485" s="23" t="s">
        <v>69</v>
      </c>
      <c r="J485" s="23" t="s">
        <v>68</v>
      </c>
    </row>
    <row r="486" spans="2:10" x14ac:dyDescent="0.2">
      <c r="E486" s="14"/>
      <c r="F486" s="22" t="s">
        <v>67</v>
      </c>
      <c r="G486" s="22" t="s">
        <v>66</v>
      </c>
      <c r="H486" s="22" t="s">
        <v>66</v>
      </c>
      <c r="I486" s="22" t="s">
        <v>66</v>
      </c>
      <c r="J486" s="22" t="s">
        <v>66</v>
      </c>
    </row>
    <row r="487" spans="2:10" x14ac:dyDescent="0.2">
      <c r="C487" s="5" t="s">
        <v>98</v>
      </c>
      <c r="E487" s="17">
        <v>11</v>
      </c>
      <c r="F487" s="16">
        <v>191</v>
      </c>
      <c r="G487" s="16">
        <f>318+0.4</f>
        <v>318.39999999999998</v>
      </c>
      <c r="H487" s="16">
        <f>273+0.4</f>
        <v>273.39999999999998</v>
      </c>
      <c r="I487" s="16">
        <f>901+0.4</f>
        <v>901.4</v>
      </c>
      <c r="J487" s="16">
        <f>623+0.4</f>
        <v>623.4</v>
      </c>
    </row>
    <row r="488" spans="2:10" x14ac:dyDescent="0.2">
      <c r="C488" s="5" t="s">
        <v>97</v>
      </c>
      <c r="E488" s="17">
        <v>10</v>
      </c>
      <c r="F488" s="16">
        <v>176</v>
      </c>
      <c r="G488" s="16">
        <v>314</v>
      </c>
      <c r="H488" s="16">
        <v>254</v>
      </c>
      <c r="I488" s="16">
        <v>936</v>
      </c>
      <c r="J488" s="16">
        <v>675</v>
      </c>
    </row>
    <row r="489" spans="2:10" x14ac:dyDescent="0.2">
      <c r="C489" s="5" t="s">
        <v>63</v>
      </c>
      <c r="E489" s="17">
        <v>14</v>
      </c>
      <c r="F489" s="16">
        <v>213</v>
      </c>
      <c r="G489" s="16">
        <v>406</v>
      </c>
      <c r="H489" s="16">
        <v>326</v>
      </c>
      <c r="I489" s="16">
        <v>1095</v>
      </c>
      <c r="J489" s="16">
        <v>759</v>
      </c>
    </row>
    <row r="490" spans="2:10" x14ac:dyDescent="0.2">
      <c r="C490" s="5" t="s">
        <v>62</v>
      </c>
      <c r="E490" s="17">
        <v>11</v>
      </c>
      <c r="F490" s="16">
        <v>187</v>
      </c>
      <c r="G490" s="16">
        <v>363.1</v>
      </c>
      <c r="H490" s="16">
        <v>305</v>
      </c>
      <c r="I490" s="16">
        <v>916</v>
      </c>
      <c r="J490" s="16">
        <v>604</v>
      </c>
    </row>
    <row r="491" spans="2:10" x14ac:dyDescent="0.2">
      <c r="E491" s="14"/>
    </row>
    <row r="492" spans="2:10" x14ac:dyDescent="0.2">
      <c r="C492" s="5" t="s">
        <v>61</v>
      </c>
      <c r="E492" s="17">
        <v>14</v>
      </c>
      <c r="F492" s="16">
        <v>215</v>
      </c>
      <c r="G492" s="16">
        <v>402</v>
      </c>
      <c r="H492" s="16">
        <v>476</v>
      </c>
      <c r="I492" s="16">
        <v>1228</v>
      </c>
      <c r="J492" s="16">
        <v>743</v>
      </c>
    </row>
    <row r="493" spans="2:10" x14ac:dyDescent="0.2">
      <c r="C493" s="5" t="s">
        <v>60</v>
      </c>
      <c r="E493" s="17">
        <v>12</v>
      </c>
      <c r="F493" s="16">
        <v>271</v>
      </c>
      <c r="G493" s="16">
        <v>597</v>
      </c>
      <c r="H493" s="16">
        <v>510</v>
      </c>
      <c r="I493" s="16">
        <v>1796</v>
      </c>
      <c r="J493" s="16">
        <v>1232</v>
      </c>
    </row>
    <row r="494" spans="2:10" x14ac:dyDescent="0.2">
      <c r="C494" s="5" t="s">
        <v>59</v>
      </c>
      <c r="E494" s="17">
        <v>12</v>
      </c>
      <c r="F494" s="16">
        <v>289</v>
      </c>
      <c r="G494" s="16">
        <v>608</v>
      </c>
      <c r="H494" s="16">
        <v>631</v>
      </c>
      <c r="I494" s="16">
        <v>1920</v>
      </c>
      <c r="J494" s="16">
        <v>1223</v>
      </c>
    </row>
    <row r="495" spans="2:10" x14ac:dyDescent="0.2">
      <c r="C495" s="5" t="s">
        <v>58</v>
      </c>
      <c r="E495" s="17">
        <v>12</v>
      </c>
      <c r="F495" s="16">
        <v>320</v>
      </c>
      <c r="G495" s="16">
        <v>692</v>
      </c>
      <c r="H495" s="16">
        <v>668</v>
      </c>
      <c r="I495" s="16">
        <v>1763</v>
      </c>
      <c r="J495" s="16">
        <v>998</v>
      </c>
    </row>
    <row r="496" spans="2:10" x14ac:dyDescent="0.2">
      <c r="E496" s="14"/>
    </row>
    <row r="497" spans="2:10" x14ac:dyDescent="0.2">
      <c r="C497" s="5" t="s">
        <v>57</v>
      </c>
      <c r="E497" s="17">
        <v>12</v>
      </c>
      <c r="F497" s="16">
        <v>342</v>
      </c>
      <c r="G497" s="16">
        <v>708</v>
      </c>
      <c r="H497" s="16">
        <v>898</v>
      </c>
      <c r="I497" s="16">
        <v>2278</v>
      </c>
      <c r="J497" s="16">
        <v>1289</v>
      </c>
    </row>
    <row r="498" spans="2:10" x14ac:dyDescent="0.2">
      <c r="C498" s="5" t="s">
        <v>56</v>
      </c>
      <c r="E498" s="17">
        <v>16</v>
      </c>
      <c r="F498" s="16">
        <v>801</v>
      </c>
      <c r="G498" s="16">
        <v>3016</v>
      </c>
      <c r="H498" s="16">
        <v>8108</v>
      </c>
      <c r="I498" s="16">
        <v>16278</v>
      </c>
      <c r="J498" s="16">
        <v>7722</v>
      </c>
    </row>
    <row r="499" spans="2:10" x14ac:dyDescent="0.2">
      <c r="C499" s="5" t="s">
        <v>55</v>
      </c>
      <c r="E499" s="17">
        <v>15</v>
      </c>
      <c r="F499" s="16">
        <v>688</v>
      </c>
      <c r="G499" s="16">
        <v>3003</v>
      </c>
      <c r="H499" s="16">
        <v>8955</v>
      </c>
      <c r="I499" s="16">
        <v>18181</v>
      </c>
      <c r="J499" s="16">
        <v>8588</v>
      </c>
    </row>
    <row r="500" spans="2:10" x14ac:dyDescent="0.2">
      <c r="C500" s="5" t="s">
        <v>54</v>
      </c>
      <c r="E500" s="17">
        <v>19</v>
      </c>
      <c r="F500" s="16">
        <v>879</v>
      </c>
      <c r="G500" s="16">
        <v>3328</v>
      </c>
      <c r="H500" s="16">
        <v>9742</v>
      </c>
      <c r="I500" s="16">
        <v>20102</v>
      </c>
      <c r="J500" s="16">
        <v>9679</v>
      </c>
    </row>
    <row r="501" spans="2:10" x14ac:dyDescent="0.2">
      <c r="E501" s="14"/>
    </row>
    <row r="502" spans="2:10" x14ac:dyDescent="0.2">
      <c r="C502" s="5" t="s">
        <v>53</v>
      </c>
      <c r="E502" s="17">
        <v>19</v>
      </c>
      <c r="F502" s="16">
        <v>953</v>
      </c>
      <c r="G502" s="16">
        <v>4155</v>
      </c>
      <c r="H502" s="16">
        <v>10683</v>
      </c>
      <c r="I502" s="16">
        <v>21801</v>
      </c>
      <c r="J502" s="16">
        <v>10103</v>
      </c>
    </row>
    <row r="503" spans="2:10" x14ac:dyDescent="0.2">
      <c r="C503" s="5" t="s">
        <v>52</v>
      </c>
      <c r="E503" s="17">
        <v>19</v>
      </c>
      <c r="F503" s="16">
        <v>934</v>
      </c>
      <c r="G503" s="16">
        <v>3937</v>
      </c>
      <c r="H503" s="16">
        <v>9307</v>
      </c>
      <c r="I503" s="16">
        <v>19661</v>
      </c>
      <c r="J503" s="16">
        <v>9284</v>
      </c>
    </row>
    <row r="504" spans="2:10" x14ac:dyDescent="0.2">
      <c r="C504" s="5" t="s">
        <v>51</v>
      </c>
      <c r="E504" s="17">
        <v>19</v>
      </c>
      <c r="F504" s="16">
        <v>966</v>
      </c>
      <c r="G504" s="16">
        <v>4196</v>
      </c>
      <c r="H504" s="16">
        <v>8318</v>
      </c>
      <c r="I504" s="16">
        <v>19128</v>
      </c>
      <c r="J504" s="16">
        <v>9133</v>
      </c>
    </row>
    <row r="505" spans="2:10" x14ac:dyDescent="0.2">
      <c r="C505" s="5" t="s">
        <v>50</v>
      </c>
      <c r="E505" s="17">
        <v>16</v>
      </c>
      <c r="F505" s="16">
        <v>847</v>
      </c>
      <c r="G505" s="16">
        <v>3903</v>
      </c>
      <c r="H505" s="16">
        <v>7527</v>
      </c>
      <c r="I505" s="16">
        <v>17788</v>
      </c>
      <c r="J505" s="16">
        <v>9096</v>
      </c>
    </row>
    <row r="506" spans="2:10" x14ac:dyDescent="0.2">
      <c r="E506" s="14"/>
    </row>
    <row r="507" spans="2:10" x14ac:dyDescent="0.2">
      <c r="C507" s="5" t="s">
        <v>49</v>
      </c>
      <c r="E507" s="17">
        <v>13</v>
      </c>
      <c r="F507" s="16">
        <v>896</v>
      </c>
      <c r="G507" s="16">
        <v>4641</v>
      </c>
      <c r="H507" s="16">
        <v>7461</v>
      </c>
      <c r="I507" s="16">
        <v>19230</v>
      </c>
      <c r="J507" s="16">
        <v>10447</v>
      </c>
    </row>
    <row r="508" spans="2:10" x14ac:dyDescent="0.2">
      <c r="C508" s="5" t="s">
        <v>48</v>
      </c>
      <c r="E508" s="17">
        <v>14</v>
      </c>
      <c r="F508" s="16">
        <v>858</v>
      </c>
      <c r="G508" s="16">
        <v>4536</v>
      </c>
      <c r="H508" s="16">
        <v>7216</v>
      </c>
      <c r="I508" s="16">
        <v>17634</v>
      </c>
      <c r="J508" s="16">
        <v>9102</v>
      </c>
    </row>
    <row r="509" spans="2:10" x14ac:dyDescent="0.2">
      <c r="C509" s="5" t="s">
        <v>47</v>
      </c>
      <c r="E509" s="17">
        <v>16</v>
      </c>
      <c r="F509" s="16">
        <v>916</v>
      </c>
      <c r="G509" s="16">
        <v>4453</v>
      </c>
      <c r="H509" s="16">
        <v>6863</v>
      </c>
      <c r="I509" s="16">
        <v>16489</v>
      </c>
      <c r="J509" s="16">
        <v>8632</v>
      </c>
    </row>
    <row r="510" spans="2:10" x14ac:dyDescent="0.2">
      <c r="C510" s="5" t="s">
        <v>45</v>
      </c>
      <c r="D510" s="2"/>
      <c r="E510" s="17">
        <v>21</v>
      </c>
      <c r="F510" s="16">
        <v>1026</v>
      </c>
      <c r="G510" s="16">
        <v>5152</v>
      </c>
      <c r="H510" s="16">
        <v>8218</v>
      </c>
      <c r="I510" s="16">
        <v>22668</v>
      </c>
      <c r="J510" s="16">
        <v>13047</v>
      </c>
    </row>
    <row r="511" spans="2:10" x14ac:dyDescent="0.2">
      <c r="C511" s="1" t="s">
        <v>44</v>
      </c>
      <c r="D511" s="2"/>
      <c r="E511" s="3">
        <v>23</v>
      </c>
      <c r="F511" s="20">
        <v>1119</v>
      </c>
      <c r="G511" s="20">
        <v>4519</v>
      </c>
      <c r="H511" s="20">
        <v>8171</v>
      </c>
      <c r="I511" s="20">
        <v>22992</v>
      </c>
      <c r="J511" s="20">
        <v>13553</v>
      </c>
    </row>
    <row r="512" spans="2:10" ht="18" thickBot="1" x14ac:dyDescent="0.25">
      <c r="B512" s="9"/>
      <c r="C512" s="9"/>
      <c r="D512" s="9"/>
      <c r="E512" s="19"/>
      <c r="F512" s="9"/>
      <c r="G512" s="9"/>
      <c r="H512" s="9"/>
      <c r="I512" s="9"/>
      <c r="J512" s="9"/>
    </row>
    <row r="513" spans="1:10" x14ac:dyDescent="0.2">
      <c r="C513" s="5" t="s">
        <v>96</v>
      </c>
      <c r="D513" s="5"/>
      <c r="F513" s="5"/>
      <c r="G513" s="5" t="s">
        <v>95</v>
      </c>
    </row>
    <row r="514" spans="1:10" x14ac:dyDescent="0.2">
      <c r="D514" s="8" t="s">
        <v>94</v>
      </c>
      <c r="F514" s="5"/>
      <c r="G514" s="5" t="s">
        <v>93</v>
      </c>
    </row>
    <row r="515" spans="1:10" x14ac:dyDescent="0.2">
      <c r="A515" s="5"/>
      <c r="F515" s="5"/>
      <c r="G515" s="5" t="s">
        <v>92</v>
      </c>
    </row>
    <row r="516" spans="1:10" x14ac:dyDescent="0.2">
      <c r="A516" s="5"/>
    </row>
    <row r="521" spans="1:10" x14ac:dyDescent="0.2">
      <c r="C521" s="2"/>
      <c r="D521" s="2"/>
      <c r="E521" s="2"/>
      <c r="F521" s="1" t="s">
        <v>81</v>
      </c>
    </row>
    <row r="522" spans="1:10" x14ac:dyDescent="0.2">
      <c r="F522" s="5" t="s">
        <v>80</v>
      </c>
    </row>
    <row r="523" spans="1:10" ht="18" thickBot="1" x14ac:dyDescent="0.25">
      <c r="B523" s="9"/>
      <c r="C523" s="9"/>
      <c r="D523" s="9"/>
      <c r="E523" s="9"/>
      <c r="F523" s="10" t="s">
        <v>79</v>
      </c>
      <c r="G523" s="9"/>
      <c r="H523" s="9"/>
      <c r="I523" s="9"/>
      <c r="J523" s="9"/>
    </row>
    <row r="524" spans="1:10" x14ac:dyDescent="0.2">
      <c r="E524" s="14"/>
      <c r="F524" s="11"/>
      <c r="G524" s="11"/>
      <c r="H524" s="11"/>
      <c r="I524" s="11"/>
      <c r="J524" s="11"/>
    </row>
    <row r="525" spans="1:10" x14ac:dyDescent="0.2">
      <c r="E525" s="25"/>
      <c r="F525" s="13"/>
      <c r="G525" s="24" t="s">
        <v>91</v>
      </c>
      <c r="H525" s="13"/>
      <c r="I525" s="13"/>
      <c r="J525" s="13"/>
    </row>
    <row r="526" spans="1:10" x14ac:dyDescent="0.2">
      <c r="E526" s="14"/>
      <c r="F526" s="14"/>
      <c r="G526" s="14"/>
      <c r="H526" s="12" t="s">
        <v>76</v>
      </c>
      <c r="I526" s="12" t="s">
        <v>75</v>
      </c>
      <c r="J526" s="12" t="s">
        <v>74</v>
      </c>
    </row>
    <row r="527" spans="1:10" x14ac:dyDescent="0.2">
      <c r="B527" s="13"/>
      <c r="C527" s="13"/>
      <c r="D527" s="13"/>
      <c r="E527" s="15" t="s">
        <v>73</v>
      </c>
      <c r="F527" s="15" t="s">
        <v>72</v>
      </c>
      <c r="G527" s="15" t="s">
        <v>71</v>
      </c>
      <c r="H527" s="23" t="s">
        <v>70</v>
      </c>
      <c r="I527" s="23" t="s">
        <v>69</v>
      </c>
      <c r="J527" s="23" t="s">
        <v>68</v>
      </c>
    </row>
    <row r="528" spans="1:10" x14ac:dyDescent="0.2">
      <c r="E528" s="14"/>
      <c r="F528" s="22" t="s">
        <v>67</v>
      </c>
      <c r="G528" s="22" t="s">
        <v>66</v>
      </c>
      <c r="H528" s="22" t="s">
        <v>66</v>
      </c>
      <c r="I528" s="22" t="s">
        <v>66</v>
      </c>
      <c r="J528" s="22" t="s">
        <v>66</v>
      </c>
    </row>
    <row r="529" spans="3:10" x14ac:dyDescent="0.2">
      <c r="C529" s="5" t="s">
        <v>65</v>
      </c>
      <c r="E529" s="17">
        <v>73</v>
      </c>
      <c r="F529" s="16">
        <v>923</v>
      </c>
      <c r="G529" s="16">
        <f>1611+0.4</f>
        <v>1611.4</v>
      </c>
      <c r="H529" s="16">
        <f>9308+0.4</f>
        <v>9308.4</v>
      </c>
      <c r="I529" s="16">
        <f>12251+0.4</f>
        <v>12251.4</v>
      </c>
      <c r="J529" s="16">
        <f>3109+0.4</f>
        <v>3109.4</v>
      </c>
    </row>
    <row r="530" spans="3:10" x14ac:dyDescent="0.2">
      <c r="C530" s="5" t="s">
        <v>64</v>
      </c>
      <c r="E530" s="17">
        <v>77</v>
      </c>
      <c r="F530" s="16">
        <v>956</v>
      </c>
      <c r="G530" s="16">
        <v>1780</v>
      </c>
      <c r="H530" s="16">
        <v>9049</v>
      </c>
      <c r="I530" s="16">
        <v>12616</v>
      </c>
      <c r="J530" s="16">
        <v>3364</v>
      </c>
    </row>
    <row r="531" spans="3:10" x14ac:dyDescent="0.2">
      <c r="C531" s="5" t="s">
        <v>63</v>
      </c>
      <c r="E531" s="17">
        <v>77</v>
      </c>
      <c r="F531" s="16">
        <v>1121</v>
      </c>
      <c r="G531" s="16">
        <v>2224</v>
      </c>
      <c r="H531" s="16">
        <v>11349</v>
      </c>
      <c r="I531" s="16">
        <v>15966</v>
      </c>
      <c r="J531" s="16">
        <v>4262</v>
      </c>
    </row>
    <row r="532" spans="3:10" x14ac:dyDescent="0.2">
      <c r="C532" s="5" t="s">
        <v>62</v>
      </c>
      <c r="E532" s="17">
        <v>72</v>
      </c>
      <c r="F532" s="16">
        <v>1071</v>
      </c>
      <c r="G532" s="16">
        <v>2235</v>
      </c>
      <c r="H532" s="16">
        <v>10831</v>
      </c>
      <c r="I532" s="16">
        <v>15133</v>
      </c>
      <c r="J532" s="16">
        <v>4328</v>
      </c>
    </row>
    <row r="533" spans="3:10" x14ac:dyDescent="0.2">
      <c r="E533" s="14"/>
    </row>
    <row r="534" spans="3:10" x14ac:dyDescent="0.2">
      <c r="C534" s="5" t="s">
        <v>61</v>
      </c>
      <c r="E534" s="17">
        <v>65</v>
      </c>
      <c r="F534" s="16">
        <v>939</v>
      </c>
      <c r="G534" s="16">
        <v>2096</v>
      </c>
      <c r="H534" s="16">
        <v>10109</v>
      </c>
      <c r="I534" s="16">
        <v>13966</v>
      </c>
      <c r="J534" s="16">
        <v>3426</v>
      </c>
    </row>
    <row r="535" spans="3:10" x14ac:dyDescent="0.2">
      <c r="C535" s="5" t="s">
        <v>60</v>
      </c>
      <c r="E535" s="17">
        <v>66</v>
      </c>
      <c r="F535" s="16">
        <v>987</v>
      </c>
      <c r="G535" s="16">
        <v>2092</v>
      </c>
      <c r="H535" s="16">
        <v>9705</v>
      </c>
      <c r="I535" s="16">
        <v>13545</v>
      </c>
      <c r="J535" s="16">
        <v>3915</v>
      </c>
    </row>
    <row r="536" spans="3:10" x14ac:dyDescent="0.2">
      <c r="C536" s="5" t="s">
        <v>59</v>
      </c>
      <c r="E536" s="17">
        <v>58</v>
      </c>
      <c r="F536" s="16">
        <v>969</v>
      </c>
      <c r="G536" s="16">
        <v>2178</v>
      </c>
      <c r="H536" s="16">
        <v>10764</v>
      </c>
      <c r="I536" s="16">
        <v>14958</v>
      </c>
      <c r="J536" s="16">
        <v>3822</v>
      </c>
    </row>
    <row r="537" spans="3:10" x14ac:dyDescent="0.2">
      <c r="C537" s="5" t="s">
        <v>58</v>
      </c>
      <c r="E537" s="17">
        <v>48</v>
      </c>
      <c r="F537" s="16">
        <v>858</v>
      </c>
      <c r="G537" s="16">
        <v>1906</v>
      </c>
      <c r="H537" s="16">
        <v>8207</v>
      </c>
      <c r="I537" s="16">
        <v>12204</v>
      </c>
      <c r="J537" s="16">
        <v>3739</v>
      </c>
    </row>
    <row r="538" spans="3:10" x14ac:dyDescent="0.2">
      <c r="E538" s="14"/>
    </row>
    <row r="539" spans="3:10" x14ac:dyDescent="0.2">
      <c r="C539" s="5" t="s">
        <v>57</v>
      </c>
      <c r="E539" s="17">
        <v>46</v>
      </c>
      <c r="F539" s="16">
        <v>775</v>
      </c>
      <c r="G539" s="16">
        <v>1610</v>
      </c>
      <c r="H539" s="16">
        <v>5981</v>
      </c>
      <c r="I539" s="16">
        <v>9252</v>
      </c>
      <c r="J539" s="16">
        <v>3004</v>
      </c>
    </row>
    <row r="540" spans="3:10" x14ac:dyDescent="0.2">
      <c r="C540" s="5" t="s">
        <v>56</v>
      </c>
      <c r="E540" s="17">
        <v>51</v>
      </c>
      <c r="F540" s="16">
        <v>758</v>
      </c>
      <c r="G540" s="16">
        <v>1545</v>
      </c>
      <c r="H540" s="16">
        <v>7143</v>
      </c>
      <c r="I540" s="16">
        <v>10299</v>
      </c>
      <c r="J540" s="16">
        <v>3225</v>
      </c>
    </row>
    <row r="541" spans="3:10" x14ac:dyDescent="0.2">
      <c r="C541" s="5" t="s">
        <v>55</v>
      </c>
      <c r="E541" s="17">
        <v>47</v>
      </c>
      <c r="F541" s="16">
        <v>711</v>
      </c>
      <c r="G541" s="16">
        <v>1502</v>
      </c>
      <c r="H541" s="16">
        <v>6218</v>
      </c>
      <c r="I541" s="16">
        <v>9569</v>
      </c>
      <c r="J541" s="16">
        <v>3168</v>
      </c>
    </row>
    <row r="542" spans="3:10" x14ac:dyDescent="0.2">
      <c r="C542" s="5" t="s">
        <v>54</v>
      </c>
      <c r="E542" s="17">
        <v>46</v>
      </c>
      <c r="F542" s="16">
        <v>692</v>
      </c>
      <c r="G542" s="16">
        <v>1594</v>
      </c>
      <c r="H542" s="16">
        <v>7157</v>
      </c>
      <c r="I542" s="16">
        <v>10935</v>
      </c>
      <c r="J542" s="16">
        <v>3630</v>
      </c>
    </row>
    <row r="543" spans="3:10" x14ac:dyDescent="0.2">
      <c r="E543" s="14"/>
    </row>
    <row r="544" spans="3:10" x14ac:dyDescent="0.2">
      <c r="C544" s="5" t="s">
        <v>53</v>
      </c>
      <c r="E544" s="17">
        <v>39</v>
      </c>
      <c r="F544" s="16">
        <v>685</v>
      </c>
      <c r="G544" s="16">
        <v>1593</v>
      </c>
      <c r="H544" s="16">
        <v>6616</v>
      </c>
      <c r="I544" s="16">
        <v>10682</v>
      </c>
      <c r="J544" s="16">
        <v>3860</v>
      </c>
    </row>
    <row r="545" spans="2:10" x14ac:dyDescent="0.2">
      <c r="C545" s="5" t="s">
        <v>52</v>
      </c>
      <c r="E545" s="17">
        <v>37</v>
      </c>
      <c r="F545" s="16">
        <v>590</v>
      </c>
      <c r="G545" s="16">
        <v>1569</v>
      </c>
      <c r="H545" s="16">
        <v>5754</v>
      </c>
      <c r="I545" s="16">
        <v>8756</v>
      </c>
      <c r="J545" s="16">
        <v>2737</v>
      </c>
    </row>
    <row r="546" spans="2:10" x14ac:dyDescent="0.2">
      <c r="C546" s="5" t="s">
        <v>51</v>
      </c>
      <c r="E546" s="17">
        <v>37</v>
      </c>
      <c r="F546" s="16">
        <v>560</v>
      </c>
      <c r="G546" s="16">
        <v>1541</v>
      </c>
      <c r="H546" s="16">
        <v>5021</v>
      </c>
      <c r="I546" s="16">
        <v>7885</v>
      </c>
      <c r="J546" s="16">
        <v>2736</v>
      </c>
    </row>
    <row r="547" spans="2:10" x14ac:dyDescent="0.2">
      <c r="C547" s="5" t="s">
        <v>50</v>
      </c>
      <c r="E547" s="17">
        <v>33</v>
      </c>
      <c r="F547" s="16">
        <v>507</v>
      </c>
      <c r="G547" s="16">
        <v>1370</v>
      </c>
      <c r="H547" s="16">
        <v>4806</v>
      </c>
      <c r="I547" s="16">
        <v>7259</v>
      </c>
      <c r="J547" s="16">
        <v>2300</v>
      </c>
    </row>
    <row r="548" spans="2:10" x14ac:dyDescent="0.2">
      <c r="E548" s="14"/>
    </row>
    <row r="549" spans="2:10" x14ac:dyDescent="0.2">
      <c r="C549" s="5" t="s">
        <v>49</v>
      </c>
      <c r="E549" s="17">
        <v>34</v>
      </c>
      <c r="F549" s="16">
        <v>537</v>
      </c>
      <c r="G549" s="16">
        <v>1336</v>
      </c>
      <c r="H549" s="16">
        <v>5020</v>
      </c>
      <c r="I549" s="16">
        <v>7424</v>
      </c>
      <c r="J549" s="16">
        <v>2234</v>
      </c>
    </row>
    <row r="550" spans="2:10" x14ac:dyDescent="0.2">
      <c r="C550" s="5" t="s">
        <v>48</v>
      </c>
      <c r="E550" s="17">
        <v>36</v>
      </c>
      <c r="F550" s="16">
        <v>528</v>
      </c>
      <c r="G550" s="16">
        <v>1351</v>
      </c>
      <c r="H550" s="16">
        <v>4827</v>
      </c>
      <c r="I550" s="16">
        <v>7413</v>
      </c>
      <c r="J550" s="16">
        <v>2630</v>
      </c>
    </row>
    <row r="551" spans="2:10" x14ac:dyDescent="0.2">
      <c r="C551" s="5" t="s">
        <v>47</v>
      </c>
      <c r="E551" s="17">
        <v>35</v>
      </c>
      <c r="F551" s="16">
        <v>447</v>
      </c>
      <c r="G551" s="16">
        <v>1168</v>
      </c>
      <c r="H551" s="16">
        <v>4299</v>
      </c>
      <c r="I551" s="16">
        <v>6759</v>
      </c>
      <c r="J551" s="16">
        <v>2327</v>
      </c>
    </row>
    <row r="552" spans="2:10" x14ac:dyDescent="0.2">
      <c r="C552" s="5" t="s">
        <v>45</v>
      </c>
      <c r="D552" s="2"/>
      <c r="E552" s="17">
        <v>32</v>
      </c>
      <c r="F552" s="16">
        <v>406</v>
      </c>
      <c r="G552" s="16">
        <v>962</v>
      </c>
      <c r="H552" s="16">
        <v>3302</v>
      </c>
      <c r="I552" s="16">
        <v>5084</v>
      </c>
      <c r="J552" s="16">
        <v>1508</v>
      </c>
    </row>
    <row r="553" spans="2:10" x14ac:dyDescent="0.2">
      <c r="C553" s="1" t="s">
        <v>44</v>
      </c>
      <c r="D553" s="2"/>
      <c r="E553" s="3">
        <v>29</v>
      </c>
      <c r="F553" s="20">
        <v>369</v>
      </c>
      <c r="G553" s="20">
        <v>853</v>
      </c>
      <c r="H553" s="20">
        <v>2849</v>
      </c>
      <c r="I553" s="20">
        <v>4463</v>
      </c>
      <c r="J553" s="20">
        <v>1501</v>
      </c>
    </row>
    <row r="554" spans="2:10" ht="18" thickBot="1" x14ac:dyDescent="0.25">
      <c r="B554" s="9"/>
      <c r="C554" s="9"/>
      <c r="D554" s="9"/>
      <c r="E554" s="19"/>
      <c r="F554" s="9"/>
      <c r="G554" s="9"/>
      <c r="H554" s="9"/>
      <c r="I554" s="9"/>
      <c r="J554" s="9"/>
    </row>
    <row r="555" spans="2:10" x14ac:dyDescent="0.2">
      <c r="E555" s="14"/>
      <c r="F555" s="11"/>
      <c r="G555" s="11"/>
      <c r="H555" s="11"/>
      <c r="I555" s="11"/>
      <c r="J555" s="11"/>
    </row>
    <row r="556" spans="2:10" x14ac:dyDescent="0.2">
      <c r="E556" s="25"/>
      <c r="F556" s="13"/>
      <c r="G556" s="24" t="s">
        <v>90</v>
      </c>
      <c r="H556" s="13"/>
      <c r="I556" s="13"/>
      <c r="J556" s="13"/>
    </row>
    <row r="557" spans="2:10" x14ac:dyDescent="0.2">
      <c r="E557" s="14"/>
      <c r="F557" s="14"/>
      <c r="G557" s="14"/>
      <c r="H557" s="12" t="s">
        <v>76</v>
      </c>
      <c r="I557" s="12" t="s">
        <v>75</v>
      </c>
      <c r="J557" s="12" t="s">
        <v>74</v>
      </c>
    </row>
    <row r="558" spans="2:10" x14ac:dyDescent="0.2">
      <c r="B558" s="13"/>
      <c r="C558" s="13"/>
      <c r="D558" s="13"/>
      <c r="E558" s="15" t="s">
        <v>73</v>
      </c>
      <c r="F558" s="15" t="s">
        <v>72</v>
      </c>
      <c r="G558" s="15" t="s">
        <v>71</v>
      </c>
      <c r="H558" s="23" t="s">
        <v>70</v>
      </c>
      <c r="I558" s="23" t="s">
        <v>69</v>
      </c>
      <c r="J558" s="23" t="s">
        <v>68</v>
      </c>
    </row>
    <row r="559" spans="2:10" x14ac:dyDescent="0.2">
      <c r="E559" s="14"/>
      <c r="F559" s="22" t="s">
        <v>67</v>
      </c>
      <c r="G559" s="22" t="s">
        <v>66</v>
      </c>
      <c r="H559" s="22" t="s">
        <v>66</v>
      </c>
      <c r="I559" s="22" t="s">
        <v>66</v>
      </c>
      <c r="J559" s="22" t="s">
        <v>66</v>
      </c>
    </row>
    <row r="560" spans="2:10" x14ac:dyDescent="0.2">
      <c r="C560" s="5" t="s">
        <v>65</v>
      </c>
      <c r="E560" s="17">
        <v>190</v>
      </c>
      <c r="F560" s="16">
        <v>2736</v>
      </c>
      <c r="G560" s="16">
        <f>6324+0.4</f>
        <v>6324.4</v>
      </c>
      <c r="H560" s="16">
        <f>20802+0.4</f>
        <v>20802.400000000001</v>
      </c>
      <c r="I560" s="16">
        <f>39075+0.4</f>
        <v>39075.4</v>
      </c>
      <c r="J560" s="16">
        <f>17594+0.4</f>
        <v>17594.400000000001</v>
      </c>
    </row>
    <row r="561" spans="3:10" x14ac:dyDescent="0.2">
      <c r="C561" s="5" t="s">
        <v>64</v>
      </c>
      <c r="E561" s="17">
        <v>187</v>
      </c>
      <c r="F561" s="16">
        <v>2848</v>
      </c>
      <c r="G561" s="16">
        <v>6720</v>
      </c>
      <c r="H561" s="16">
        <v>27108</v>
      </c>
      <c r="I561" s="16">
        <v>48948</v>
      </c>
      <c r="J561" s="16">
        <v>20151</v>
      </c>
    </row>
    <row r="562" spans="3:10" x14ac:dyDescent="0.2">
      <c r="C562" s="5" t="s">
        <v>63</v>
      </c>
      <c r="E562" s="17">
        <v>146</v>
      </c>
      <c r="F562" s="16">
        <v>3108</v>
      </c>
      <c r="G562" s="16">
        <v>8048</v>
      </c>
      <c r="H562" s="16">
        <v>31663</v>
      </c>
      <c r="I562" s="16">
        <v>57845</v>
      </c>
      <c r="J562" s="16">
        <v>24979</v>
      </c>
    </row>
    <row r="563" spans="3:10" x14ac:dyDescent="0.2">
      <c r="C563" s="5" t="s">
        <v>62</v>
      </c>
      <c r="E563" s="17">
        <v>149</v>
      </c>
      <c r="F563" s="16">
        <v>2935</v>
      </c>
      <c r="G563" s="16">
        <v>7686</v>
      </c>
      <c r="H563" s="16">
        <v>30973</v>
      </c>
      <c r="I563" s="16">
        <v>54857</v>
      </c>
      <c r="J563" s="16">
        <v>22286</v>
      </c>
    </row>
    <row r="564" spans="3:10" x14ac:dyDescent="0.2">
      <c r="E564" s="14"/>
    </row>
    <row r="565" spans="3:10" x14ac:dyDescent="0.2">
      <c r="C565" s="5" t="s">
        <v>61</v>
      </c>
      <c r="E565" s="17">
        <v>149</v>
      </c>
      <c r="F565" s="16">
        <v>2712</v>
      </c>
      <c r="G565" s="16">
        <v>7069</v>
      </c>
      <c r="H565" s="16">
        <v>29137</v>
      </c>
      <c r="I565" s="16">
        <v>51565</v>
      </c>
      <c r="J565" s="16">
        <v>20404</v>
      </c>
    </row>
    <row r="566" spans="3:10" x14ac:dyDescent="0.2">
      <c r="C566" s="5" t="s">
        <v>60</v>
      </c>
      <c r="E566" s="17">
        <v>142</v>
      </c>
      <c r="F566" s="16">
        <v>2676</v>
      </c>
      <c r="G566" s="16">
        <v>7314</v>
      </c>
      <c r="H566" s="16">
        <v>26130</v>
      </c>
      <c r="I566" s="16">
        <v>46525</v>
      </c>
      <c r="J566" s="16">
        <v>19152</v>
      </c>
    </row>
    <row r="567" spans="3:10" x14ac:dyDescent="0.2">
      <c r="C567" s="5" t="s">
        <v>59</v>
      </c>
      <c r="E567" s="17">
        <v>143</v>
      </c>
      <c r="F567" s="16">
        <v>2533</v>
      </c>
      <c r="G567" s="16">
        <v>7730</v>
      </c>
      <c r="H567" s="16">
        <v>22746</v>
      </c>
      <c r="I567" s="16">
        <v>42815</v>
      </c>
      <c r="J567" s="16">
        <v>17929</v>
      </c>
    </row>
    <row r="568" spans="3:10" x14ac:dyDescent="0.2">
      <c r="C568" s="5" t="s">
        <v>58</v>
      </c>
      <c r="E568" s="17">
        <v>147</v>
      </c>
      <c r="F568" s="16">
        <v>2491</v>
      </c>
      <c r="G568" s="16">
        <v>7566</v>
      </c>
      <c r="H568" s="16">
        <v>22077</v>
      </c>
      <c r="I568" s="16">
        <v>41838</v>
      </c>
      <c r="J568" s="16">
        <v>18583</v>
      </c>
    </row>
    <row r="569" spans="3:10" x14ac:dyDescent="0.2">
      <c r="E569" s="14"/>
    </row>
    <row r="570" spans="3:10" x14ac:dyDescent="0.2">
      <c r="C570" s="5" t="s">
        <v>57</v>
      </c>
      <c r="E570" s="17">
        <v>143</v>
      </c>
      <c r="F570" s="16">
        <v>2491</v>
      </c>
      <c r="G570" s="16">
        <v>7590</v>
      </c>
      <c r="H570" s="16">
        <v>21038</v>
      </c>
      <c r="I570" s="16">
        <v>40231</v>
      </c>
      <c r="J570" s="16">
        <v>18560</v>
      </c>
    </row>
    <row r="571" spans="3:10" x14ac:dyDescent="0.2">
      <c r="C571" s="5" t="s">
        <v>56</v>
      </c>
      <c r="E571" s="17">
        <v>148</v>
      </c>
      <c r="F571" s="16">
        <v>2556</v>
      </c>
      <c r="G571" s="16">
        <v>8241</v>
      </c>
      <c r="H571" s="16">
        <v>23888</v>
      </c>
      <c r="I571" s="16">
        <v>45796</v>
      </c>
      <c r="J571" s="16">
        <v>20036</v>
      </c>
    </row>
    <row r="572" spans="3:10" x14ac:dyDescent="0.2">
      <c r="C572" s="5" t="s">
        <v>55</v>
      </c>
      <c r="E572" s="17">
        <v>146</v>
      </c>
      <c r="F572" s="16">
        <v>2530</v>
      </c>
      <c r="G572" s="16">
        <v>8870</v>
      </c>
      <c r="H572" s="16">
        <v>24255</v>
      </c>
      <c r="I572" s="16">
        <v>48372</v>
      </c>
      <c r="J572" s="16">
        <v>21990</v>
      </c>
    </row>
    <row r="573" spans="3:10" x14ac:dyDescent="0.2">
      <c r="C573" s="5" t="s">
        <v>54</v>
      </c>
      <c r="E573" s="17">
        <v>149</v>
      </c>
      <c r="F573" s="16">
        <v>2555</v>
      </c>
      <c r="G573" s="16">
        <v>9164</v>
      </c>
      <c r="H573" s="16">
        <v>27233</v>
      </c>
      <c r="I573" s="16">
        <v>52859</v>
      </c>
      <c r="J573" s="16">
        <v>23807</v>
      </c>
    </row>
    <row r="574" spans="3:10" x14ac:dyDescent="0.2">
      <c r="E574" s="14"/>
    </row>
    <row r="575" spans="3:10" x14ac:dyDescent="0.2">
      <c r="C575" s="5" t="s">
        <v>53</v>
      </c>
      <c r="E575" s="17">
        <v>146</v>
      </c>
      <c r="F575" s="16">
        <v>2430</v>
      </c>
      <c r="G575" s="16">
        <v>9141</v>
      </c>
      <c r="H575" s="16">
        <v>28690</v>
      </c>
      <c r="I575" s="16">
        <v>55221</v>
      </c>
      <c r="J575" s="16">
        <v>24269</v>
      </c>
    </row>
    <row r="576" spans="3:10" x14ac:dyDescent="0.2">
      <c r="C576" s="5" t="s">
        <v>52</v>
      </c>
      <c r="E576" s="17">
        <v>150</v>
      </c>
      <c r="F576" s="16">
        <v>2594</v>
      </c>
      <c r="G576" s="16">
        <v>9994</v>
      </c>
      <c r="H576" s="16">
        <v>32363</v>
      </c>
      <c r="I576" s="16">
        <v>58248</v>
      </c>
      <c r="J576" s="16">
        <v>23962</v>
      </c>
    </row>
    <row r="577" spans="1:10" x14ac:dyDescent="0.2">
      <c r="C577" s="5" t="s">
        <v>51</v>
      </c>
      <c r="E577" s="17">
        <v>144</v>
      </c>
      <c r="F577" s="16">
        <v>2446</v>
      </c>
      <c r="G577" s="16">
        <v>9842</v>
      </c>
      <c r="H577" s="16">
        <v>29589</v>
      </c>
      <c r="I577" s="16">
        <v>59434</v>
      </c>
      <c r="J577" s="16">
        <v>25981</v>
      </c>
    </row>
    <row r="578" spans="1:10" x14ac:dyDescent="0.2">
      <c r="C578" s="5" t="s">
        <v>50</v>
      </c>
      <c r="E578" s="17">
        <v>139</v>
      </c>
      <c r="F578" s="16">
        <v>2453</v>
      </c>
      <c r="G578" s="16">
        <v>10136</v>
      </c>
      <c r="H578" s="16">
        <v>30197</v>
      </c>
      <c r="I578" s="16">
        <v>59780</v>
      </c>
      <c r="J578" s="16">
        <v>26713</v>
      </c>
    </row>
    <row r="579" spans="1:10" x14ac:dyDescent="0.2">
      <c r="E579" s="14"/>
    </row>
    <row r="580" spans="1:10" x14ac:dyDescent="0.2">
      <c r="C580" s="5" t="s">
        <v>49</v>
      </c>
      <c r="E580" s="17">
        <v>146</v>
      </c>
      <c r="F580" s="16">
        <v>2502</v>
      </c>
      <c r="G580" s="16">
        <v>10348</v>
      </c>
      <c r="H580" s="16">
        <v>28830</v>
      </c>
      <c r="I580" s="16">
        <v>58592</v>
      </c>
      <c r="J580" s="16">
        <v>26133</v>
      </c>
    </row>
    <row r="581" spans="1:10" x14ac:dyDescent="0.2">
      <c r="C581" s="5" t="s">
        <v>48</v>
      </c>
      <c r="E581" s="17">
        <v>134</v>
      </c>
      <c r="F581" s="16">
        <v>2420</v>
      </c>
      <c r="G581" s="16">
        <v>10496</v>
      </c>
      <c r="H581" s="16">
        <v>26657</v>
      </c>
      <c r="I581" s="16">
        <v>57133</v>
      </c>
      <c r="J581" s="16">
        <v>27074</v>
      </c>
    </row>
    <row r="582" spans="1:10" x14ac:dyDescent="0.2">
      <c r="C582" s="5" t="s">
        <v>47</v>
      </c>
      <c r="E582" s="17">
        <v>129</v>
      </c>
      <c r="F582" s="16">
        <v>2424</v>
      </c>
      <c r="G582" s="16">
        <v>10252</v>
      </c>
      <c r="H582" s="16">
        <v>26936</v>
      </c>
      <c r="I582" s="16">
        <v>52993</v>
      </c>
      <c r="J582" s="16">
        <v>23652</v>
      </c>
    </row>
    <row r="583" spans="1:10" x14ac:dyDescent="0.2">
      <c r="C583" s="5" t="s">
        <v>45</v>
      </c>
      <c r="D583" s="2"/>
      <c r="E583" s="17">
        <v>144</v>
      </c>
      <c r="F583" s="16">
        <v>2445</v>
      </c>
      <c r="G583" s="16">
        <v>10265</v>
      </c>
      <c r="H583" s="16">
        <v>25641</v>
      </c>
      <c r="I583" s="16">
        <v>50268</v>
      </c>
      <c r="J583" s="16">
        <v>21464</v>
      </c>
    </row>
    <row r="584" spans="1:10" x14ac:dyDescent="0.2">
      <c r="C584" s="1" t="s">
        <v>44</v>
      </c>
      <c r="D584" s="2"/>
      <c r="E584" s="3">
        <v>138</v>
      </c>
      <c r="F584" s="20">
        <v>2332</v>
      </c>
      <c r="G584" s="20">
        <v>10140</v>
      </c>
      <c r="H584" s="20">
        <v>25104</v>
      </c>
      <c r="I584" s="20">
        <v>50695</v>
      </c>
      <c r="J584" s="20">
        <v>21658</v>
      </c>
    </row>
    <row r="585" spans="1:10" ht="18" thickBot="1" x14ac:dyDescent="0.25">
      <c r="B585" s="9"/>
      <c r="C585" s="9"/>
      <c r="D585" s="9"/>
      <c r="E585" s="19"/>
      <c r="F585" s="9"/>
      <c r="G585" s="9"/>
      <c r="H585" s="9"/>
      <c r="I585" s="9"/>
      <c r="J585" s="9"/>
    </row>
    <row r="586" spans="1:10" x14ac:dyDescent="0.2">
      <c r="D586" s="5" t="s">
        <v>43</v>
      </c>
      <c r="E586" s="5"/>
      <c r="H586" s="5" t="s">
        <v>42</v>
      </c>
    </row>
    <row r="587" spans="1:10" x14ac:dyDescent="0.2">
      <c r="H587" s="5" t="s">
        <v>41</v>
      </c>
    </row>
    <row r="589" spans="1:10" x14ac:dyDescent="0.2">
      <c r="A589" s="5"/>
    </row>
    <row r="590" spans="1:10" x14ac:dyDescent="0.2">
      <c r="A590" s="5"/>
    </row>
    <row r="595" spans="2:10" x14ac:dyDescent="0.2">
      <c r="C595" s="2"/>
      <c r="D595" s="2"/>
      <c r="E595" s="2"/>
      <c r="F595" s="1" t="s">
        <v>81</v>
      </c>
    </row>
    <row r="596" spans="2:10" x14ac:dyDescent="0.2">
      <c r="F596" s="5" t="s">
        <v>80</v>
      </c>
    </row>
    <row r="597" spans="2:10" ht="18" thickBot="1" x14ac:dyDescent="0.25">
      <c r="B597" s="9"/>
      <c r="C597" s="9"/>
      <c r="D597" s="9"/>
      <c r="E597" s="9"/>
      <c r="F597" s="10" t="s">
        <v>79</v>
      </c>
      <c r="G597" s="9"/>
      <c r="H597" s="9"/>
      <c r="I597" s="9"/>
      <c r="J597" s="9"/>
    </row>
    <row r="598" spans="2:10" x14ac:dyDescent="0.2">
      <c r="E598" s="14"/>
      <c r="F598" s="11"/>
      <c r="G598" s="11"/>
      <c r="H598" s="11"/>
      <c r="I598" s="11"/>
      <c r="J598" s="11"/>
    </row>
    <row r="599" spans="2:10" x14ac:dyDescent="0.2">
      <c r="E599" s="25"/>
      <c r="F599" s="13"/>
      <c r="G599" s="24" t="s">
        <v>89</v>
      </c>
      <c r="H599" s="13"/>
      <c r="I599" s="13"/>
      <c r="J599" s="13"/>
    </row>
    <row r="600" spans="2:10" x14ac:dyDescent="0.2">
      <c r="E600" s="14"/>
      <c r="F600" s="14"/>
      <c r="G600" s="14"/>
      <c r="H600" s="12" t="s">
        <v>76</v>
      </c>
      <c r="I600" s="12" t="s">
        <v>75</v>
      </c>
      <c r="J600" s="12" t="s">
        <v>74</v>
      </c>
    </row>
    <row r="601" spans="2:10" x14ac:dyDescent="0.2">
      <c r="B601" s="13"/>
      <c r="C601" s="13"/>
      <c r="D601" s="13"/>
      <c r="E601" s="15" t="s">
        <v>73</v>
      </c>
      <c r="F601" s="15" t="s">
        <v>72</v>
      </c>
      <c r="G601" s="15" t="s">
        <v>71</v>
      </c>
      <c r="H601" s="23" t="s">
        <v>70</v>
      </c>
      <c r="I601" s="23" t="s">
        <v>69</v>
      </c>
      <c r="J601" s="23" t="s">
        <v>68</v>
      </c>
    </row>
    <row r="602" spans="2:10" x14ac:dyDescent="0.2">
      <c r="E602" s="14"/>
      <c r="F602" s="22" t="s">
        <v>67</v>
      </c>
      <c r="G602" s="22" t="s">
        <v>66</v>
      </c>
      <c r="H602" s="22" t="s">
        <v>66</v>
      </c>
      <c r="I602" s="22" t="s">
        <v>66</v>
      </c>
      <c r="J602" s="22" t="s">
        <v>66</v>
      </c>
    </row>
    <row r="603" spans="2:10" x14ac:dyDescent="0.2">
      <c r="C603" s="5" t="s">
        <v>65</v>
      </c>
      <c r="E603" s="17">
        <v>71</v>
      </c>
      <c r="F603" s="16">
        <v>12795</v>
      </c>
      <c r="G603" s="16">
        <f>47546+0.4</f>
        <v>47546.400000000001</v>
      </c>
      <c r="H603" s="16">
        <f>310685+0.4</f>
        <v>310685.40000000002</v>
      </c>
      <c r="I603" s="16">
        <f>531637+0.4</f>
        <v>531637.4</v>
      </c>
      <c r="J603" s="16">
        <f>197021+0.4</f>
        <v>197021.4</v>
      </c>
    </row>
    <row r="604" spans="2:10" x14ac:dyDescent="0.2">
      <c r="C604" s="5" t="s">
        <v>64</v>
      </c>
      <c r="E604" s="17">
        <v>64</v>
      </c>
      <c r="F604" s="16">
        <v>12570</v>
      </c>
      <c r="G604" s="16">
        <v>46482</v>
      </c>
      <c r="H604" s="16">
        <v>347046</v>
      </c>
      <c r="I604" s="16">
        <v>599679</v>
      </c>
      <c r="J604" s="16">
        <v>229466</v>
      </c>
    </row>
    <row r="605" spans="2:10" x14ac:dyDescent="0.2">
      <c r="C605" s="5" t="s">
        <v>63</v>
      </c>
      <c r="E605" s="17">
        <v>54</v>
      </c>
      <c r="F605" s="16">
        <v>12667</v>
      </c>
      <c r="G605" s="16">
        <v>53293</v>
      </c>
      <c r="H605" s="16">
        <v>370239</v>
      </c>
      <c r="I605" s="16">
        <v>726817</v>
      </c>
      <c r="J605" s="16">
        <v>321512</v>
      </c>
    </row>
    <row r="606" spans="2:10" x14ac:dyDescent="0.2">
      <c r="C606" s="5" t="s">
        <v>62</v>
      </c>
      <c r="E606" s="17">
        <v>53</v>
      </c>
      <c r="F606" s="16">
        <v>12731</v>
      </c>
      <c r="G606" s="16">
        <v>58249</v>
      </c>
      <c r="H606" s="16">
        <v>373146</v>
      </c>
      <c r="I606" s="16">
        <v>752979</v>
      </c>
      <c r="J606" s="16">
        <v>329844</v>
      </c>
    </row>
    <row r="607" spans="2:10" x14ac:dyDescent="0.2">
      <c r="E607" s="14"/>
    </row>
    <row r="608" spans="2:10" x14ac:dyDescent="0.2">
      <c r="C608" s="5" t="s">
        <v>61</v>
      </c>
      <c r="E608" s="17">
        <v>44</v>
      </c>
      <c r="F608" s="16">
        <v>13082</v>
      </c>
      <c r="G608" s="16">
        <v>60866</v>
      </c>
      <c r="H608" s="16">
        <v>305954</v>
      </c>
      <c r="I608" s="16">
        <v>500744</v>
      </c>
      <c r="J608" s="16">
        <v>161082</v>
      </c>
    </row>
    <row r="609" spans="3:10" x14ac:dyDescent="0.2">
      <c r="C609" s="5" t="s">
        <v>60</v>
      </c>
      <c r="E609" s="17">
        <v>43</v>
      </c>
      <c r="F609" s="16">
        <v>12441</v>
      </c>
      <c r="G609" s="16">
        <v>56514</v>
      </c>
      <c r="H609" s="16">
        <v>328270</v>
      </c>
      <c r="I609" s="16">
        <v>551719</v>
      </c>
      <c r="J609" s="16">
        <v>188873</v>
      </c>
    </row>
    <row r="610" spans="3:10" x14ac:dyDescent="0.2">
      <c r="C610" s="5" t="s">
        <v>59</v>
      </c>
      <c r="E610" s="17">
        <v>46</v>
      </c>
      <c r="F610" s="16">
        <v>12187</v>
      </c>
      <c r="G610" s="16">
        <v>62554</v>
      </c>
      <c r="H610" s="16">
        <v>370026</v>
      </c>
      <c r="I610" s="16">
        <v>610844</v>
      </c>
      <c r="J610" s="16">
        <v>209316</v>
      </c>
    </row>
    <row r="611" spans="3:10" x14ac:dyDescent="0.2">
      <c r="C611" s="5" t="s">
        <v>58</v>
      </c>
      <c r="E611" s="17">
        <v>50</v>
      </c>
      <c r="F611" s="16">
        <v>10658</v>
      </c>
      <c r="G611" s="16">
        <v>54987</v>
      </c>
      <c r="H611" s="16">
        <v>288183</v>
      </c>
      <c r="I611" s="16">
        <v>452362</v>
      </c>
      <c r="J611" s="16">
        <v>115074</v>
      </c>
    </row>
    <row r="612" spans="3:10" x14ac:dyDescent="0.2">
      <c r="E612" s="14"/>
    </row>
    <row r="613" spans="3:10" x14ac:dyDescent="0.2">
      <c r="C613" s="5" t="s">
        <v>57</v>
      </c>
      <c r="E613" s="17">
        <v>45</v>
      </c>
      <c r="F613" s="16">
        <v>9955</v>
      </c>
      <c r="G613" s="16">
        <v>51814</v>
      </c>
      <c r="H613" s="16">
        <v>263305</v>
      </c>
      <c r="I613" s="16">
        <v>404159</v>
      </c>
      <c r="J613" s="16">
        <v>106194</v>
      </c>
    </row>
    <row r="614" spans="3:10" x14ac:dyDescent="0.2">
      <c r="C614" s="5" t="s">
        <v>56</v>
      </c>
      <c r="E614" s="17">
        <v>44</v>
      </c>
      <c r="F614" s="16">
        <v>9041</v>
      </c>
      <c r="G614" s="16">
        <v>51219</v>
      </c>
      <c r="H614" s="16">
        <v>293090</v>
      </c>
      <c r="I614" s="16">
        <v>493272</v>
      </c>
      <c r="J614" s="16">
        <v>150516</v>
      </c>
    </row>
    <row r="615" spans="3:10" x14ac:dyDescent="0.2">
      <c r="C615" s="5" t="s">
        <v>55</v>
      </c>
      <c r="E615" s="17">
        <v>39</v>
      </c>
      <c r="F615" s="16">
        <v>7950</v>
      </c>
      <c r="G615" s="16">
        <v>47973</v>
      </c>
      <c r="H615" s="16">
        <v>362499</v>
      </c>
      <c r="I615" s="16">
        <v>529009</v>
      </c>
      <c r="J615" s="16">
        <v>126749</v>
      </c>
    </row>
    <row r="616" spans="3:10" x14ac:dyDescent="0.2">
      <c r="C616" s="5" t="s">
        <v>54</v>
      </c>
      <c r="E616" s="17">
        <v>41</v>
      </c>
      <c r="F616" s="16">
        <v>7694</v>
      </c>
      <c r="G616" s="16">
        <v>47931</v>
      </c>
      <c r="H616" s="16">
        <v>369940</v>
      </c>
      <c r="I616" s="16">
        <v>524733</v>
      </c>
      <c r="J616" s="16">
        <v>118926</v>
      </c>
    </row>
    <row r="617" spans="3:10" x14ac:dyDescent="0.2">
      <c r="E617" s="14"/>
    </row>
    <row r="618" spans="3:10" x14ac:dyDescent="0.2">
      <c r="C618" s="5" t="s">
        <v>53</v>
      </c>
      <c r="E618" s="17">
        <v>39</v>
      </c>
      <c r="F618" s="16">
        <v>7706</v>
      </c>
      <c r="G618" s="16">
        <v>46865</v>
      </c>
      <c r="H618" s="16">
        <v>362802</v>
      </c>
      <c r="I618" s="16">
        <v>533749</v>
      </c>
      <c r="J618" s="16">
        <v>130711</v>
      </c>
    </row>
    <row r="619" spans="3:10" x14ac:dyDescent="0.2">
      <c r="C619" s="5" t="s">
        <v>52</v>
      </c>
      <c r="E619" s="17">
        <v>34</v>
      </c>
      <c r="F619" s="16">
        <v>7442</v>
      </c>
      <c r="G619" s="16">
        <v>45985</v>
      </c>
      <c r="H619" s="16">
        <v>257972</v>
      </c>
      <c r="I619" s="16">
        <v>402609</v>
      </c>
      <c r="J619" s="16">
        <v>111032</v>
      </c>
    </row>
    <row r="620" spans="3:10" x14ac:dyDescent="0.2">
      <c r="C620" s="5" t="s">
        <v>51</v>
      </c>
      <c r="E620" s="17">
        <v>36</v>
      </c>
      <c r="F620" s="16">
        <v>7281</v>
      </c>
      <c r="G620" s="16">
        <v>46877</v>
      </c>
      <c r="H620" s="16">
        <v>199999</v>
      </c>
      <c r="I620" s="16">
        <v>365416</v>
      </c>
      <c r="J620" s="16">
        <v>133520</v>
      </c>
    </row>
    <row r="621" spans="3:10" x14ac:dyDescent="0.2">
      <c r="C621" s="5" t="s">
        <v>50</v>
      </c>
      <c r="E621" s="17">
        <v>33</v>
      </c>
      <c r="F621" s="16">
        <v>6943</v>
      </c>
      <c r="G621" s="16">
        <v>46353</v>
      </c>
      <c r="H621" s="16">
        <v>151444</v>
      </c>
      <c r="I621" s="16">
        <v>323017</v>
      </c>
      <c r="J621" s="16">
        <v>133086</v>
      </c>
    </row>
    <row r="622" spans="3:10" x14ac:dyDescent="0.2">
      <c r="E622" s="14"/>
    </row>
    <row r="623" spans="3:10" x14ac:dyDescent="0.2">
      <c r="C623" s="5" t="s">
        <v>49</v>
      </c>
      <c r="E623" s="17">
        <v>32</v>
      </c>
      <c r="F623" s="16">
        <v>6244</v>
      </c>
      <c r="G623" s="16">
        <v>60248</v>
      </c>
      <c r="H623" s="16">
        <v>186108</v>
      </c>
      <c r="I623" s="16">
        <v>368366</v>
      </c>
      <c r="J623" s="16">
        <v>144480</v>
      </c>
    </row>
    <row r="624" spans="3:10" x14ac:dyDescent="0.2">
      <c r="C624" s="5" t="s">
        <v>48</v>
      </c>
      <c r="E624" s="17">
        <v>34</v>
      </c>
      <c r="F624" s="16">
        <v>5521</v>
      </c>
      <c r="G624" s="16">
        <v>45553</v>
      </c>
      <c r="H624" s="16">
        <v>143301</v>
      </c>
      <c r="I624" s="16">
        <v>322666</v>
      </c>
      <c r="J624" s="16">
        <v>142116</v>
      </c>
    </row>
    <row r="625" spans="2:10" x14ac:dyDescent="0.2">
      <c r="C625" s="5" t="s">
        <v>47</v>
      </c>
      <c r="E625" s="17">
        <v>34</v>
      </c>
      <c r="F625" s="16">
        <v>4537</v>
      </c>
      <c r="G625" s="16">
        <v>36095</v>
      </c>
      <c r="H625" s="16">
        <v>158474</v>
      </c>
      <c r="I625" s="16">
        <v>360717</v>
      </c>
      <c r="J625" s="16">
        <v>158387</v>
      </c>
    </row>
    <row r="626" spans="2:10" x14ac:dyDescent="0.2">
      <c r="C626" s="5" t="s">
        <v>45</v>
      </c>
      <c r="D626" s="2"/>
      <c r="E626" s="17">
        <v>38</v>
      </c>
      <c r="F626" s="16">
        <v>4339</v>
      </c>
      <c r="G626" s="16">
        <v>31463</v>
      </c>
      <c r="H626" s="16">
        <v>143181</v>
      </c>
      <c r="I626" s="16">
        <v>321304</v>
      </c>
      <c r="J626" s="16">
        <v>136114</v>
      </c>
    </row>
    <row r="627" spans="2:10" x14ac:dyDescent="0.2">
      <c r="C627" s="1" t="s">
        <v>44</v>
      </c>
      <c r="D627" s="2"/>
      <c r="E627" s="3">
        <v>34</v>
      </c>
      <c r="F627" s="20">
        <v>3946</v>
      </c>
      <c r="G627" s="20">
        <v>30904</v>
      </c>
      <c r="H627" s="20">
        <v>118782</v>
      </c>
      <c r="I627" s="20">
        <v>243218</v>
      </c>
      <c r="J627" s="20">
        <v>82148</v>
      </c>
    </row>
    <row r="628" spans="2:10" ht="18" thickBot="1" x14ac:dyDescent="0.25">
      <c r="B628" s="9"/>
      <c r="C628" s="9"/>
      <c r="D628" s="9"/>
      <c r="E628" s="19"/>
      <c r="F628" s="9"/>
      <c r="G628" s="9"/>
      <c r="H628" s="9"/>
      <c r="I628" s="9"/>
      <c r="J628" s="9"/>
    </row>
    <row r="629" spans="2:10" x14ac:dyDescent="0.2">
      <c r="E629" s="14"/>
      <c r="F629" s="11"/>
      <c r="G629" s="11"/>
      <c r="H629" s="11"/>
      <c r="I629" s="11"/>
      <c r="J629" s="11"/>
    </row>
    <row r="630" spans="2:10" x14ac:dyDescent="0.2">
      <c r="E630" s="25"/>
      <c r="F630" s="13"/>
      <c r="G630" s="24" t="s">
        <v>88</v>
      </c>
      <c r="H630" s="13"/>
      <c r="I630" s="13"/>
      <c r="J630" s="13"/>
    </row>
    <row r="631" spans="2:10" x14ac:dyDescent="0.2">
      <c r="E631" s="14"/>
      <c r="F631" s="14"/>
      <c r="G631" s="14"/>
      <c r="H631" s="12" t="s">
        <v>76</v>
      </c>
      <c r="I631" s="12" t="s">
        <v>75</v>
      </c>
      <c r="J631" s="12" t="s">
        <v>74</v>
      </c>
    </row>
    <row r="632" spans="2:10" x14ac:dyDescent="0.2">
      <c r="B632" s="13"/>
      <c r="C632" s="13"/>
      <c r="D632" s="13"/>
      <c r="E632" s="15" t="s">
        <v>73</v>
      </c>
      <c r="F632" s="15" t="s">
        <v>72</v>
      </c>
      <c r="G632" s="15" t="s">
        <v>71</v>
      </c>
      <c r="H632" s="23" t="s">
        <v>70</v>
      </c>
      <c r="I632" s="23" t="s">
        <v>69</v>
      </c>
      <c r="J632" s="23" t="s">
        <v>68</v>
      </c>
    </row>
    <row r="633" spans="2:10" x14ac:dyDescent="0.2">
      <c r="E633" s="14"/>
      <c r="F633" s="22" t="s">
        <v>67</v>
      </c>
      <c r="G633" s="22" t="s">
        <v>66</v>
      </c>
      <c r="H633" s="22" t="s">
        <v>66</v>
      </c>
      <c r="I633" s="22" t="s">
        <v>66</v>
      </c>
      <c r="J633" s="22" t="s">
        <v>66</v>
      </c>
    </row>
    <row r="634" spans="2:10" x14ac:dyDescent="0.2">
      <c r="C634" s="5" t="s">
        <v>65</v>
      </c>
      <c r="E634" s="17">
        <v>10</v>
      </c>
      <c r="F634" s="16">
        <v>536</v>
      </c>
      <c r="G634" s="16">
        <f>1907+0.4</f>
        <v>1907.4</v>
      </c>
      <c r="H634" s="16">
        <f>8453+0.4</f>
        <v>8453.4</v>
      </c>
      <c r="I634" s="16">
        <f>9124+0.4</f>
        <v>9124.4</v>
      </c>
      <c r="J634" s="16">
        <f>1011+0.4</f>
        <v>1011.4</v>
      </c>
    </row>
    <row r="635" spans="2:10" x14ac:dyDescent="0.2">
      <c r="C635" s="5" t="s">
        <v>64</v>
      </c>
      <c r="E635" s="17">
        <v>8</v>
      </c>
      <c r="F635" s="16">
        <v>520</v>
      </c>
      <c r="G635" s="16">
        <v>1972</v>
      </c>
      <c r="H635" s="16">
        <v>9863</v>
      </c>
      <c r="I635" s="16">
        <v>10058</v>
      </c>
      <c r="J635" s="16">
        <v>253</v>
      </c>
    </row>
    <row r="636" spans="2:10" x14ac:dyDescent="0.2">
      <c r="C636" s="5" t="s">
        <v>63</v>
      </c>
      <c r="E636" s="17">
        <v>6</v>
      </c>
      <c r="F636" s="16">
        <v>537</v>
      </c>
      <c r="G636" s="16">
        <v>2134</v>
      </c>
      <c r="H636" s="16">
        <v>8937</v>
      </c>
      <c r="I636" s="16">
        <v>14837</v>
      </c>
      <c r="J636" s="16">
        <v>5359</v>
      </c>
    </row>
    <row r="637" spans="2:10" x14ac:dyDescent="0.2">
      <c r="C637" s="5" t="s">
        <v>62</v>
      </c>
      <c r="E637" s="17">
        <v>5</v>
      </c>
      <c r="F637" s="16">
        <v>519</v>
      </c>
      <c r="G637" s="16">
        <v>2284</v>
      </c>
      <c r="H637" s="16">
        <v>9372</v>
      </c>
      <c r="I637" s="16">
        <v>13811</v>
      </c>
      <c r="J637" s="16">
        <v>4270</v>
      </c>
    </row>
    <row r="638" spans="2:10" x14ac:dyDescent="0.2">
      <c r="E638" s="14"/>
    </row>
    <row r="639" spans="2:10" x14ac:dyDescent="0.2">
      <c r="C639" s="5" t="s">
        <v>61</v>
      </c>
      <c r="E639" s="17">
        <v>5</v>
      </c>
      <c r="F639" s="16">
        <v>510</v>
      </c>
      <c r="G639" s="16">
        <v>2304</v>
      </c>
      <c r="H639" s="16">
        <v>8519</v>
      </c>
      <c r="I639" s="16">
        <v>17332</v>
      </c>
      <c r="J639" s="16">
        <v>8413</v>
      </c>
    </row>
    <row r="640" spans="2:10" x14ac:dyDescent="0.2">
      <c r="C640" s="5" t="s">
        <v>60</v>
      </c>
      <c r="E640" s="17">
        <v>5</v>
      </c>
      <c r="F640" s="16">
        <v>448</v>
      </c>
      <c r="G640" s="16">
        <v>2151</v>
      </c>
      <c r="H640" s="16">
        <v>8807</v>
      </c>
      <c r="I640" s="16">
        <v>14989</v>
      </c>
      <c r="J640" s="16">
        <v>5556</v>
      </c>
    </row>
    <row r="641" spans="3:10" x14ac:dyDescent="0.2">
      <c r="C641" s="5" t="s">
        <v>59</v>
      </c>
      <c r="E641" s="17">
        <v>4</v>
      </c>
      <c r="F641" s="16">
        <v>423</v>
      </c>
      <c r="G641" s="16">
        <v>2269</v>
      </c>
      <c r="H641" s="16">
        <v>8685</v>
      </c>
      <c r="I641" s="16">
        <v>15562</v>
      </c>
      <c r="J641" s="16">
        <v>6707</v>
      </c>
    </row>
    <row r="642" spans="3:10" x14ac:dyDescent="0.2">
      <c r="C642" s="5" t="s">
        <v>58</v>
      </c>
      <c r="E642" s="17">
        <v>5</v>
      </c>
      <c r="F642" s="16">
        <v>470</v>
      </c>
      <c r="G642" s="16">
        <v>2363</v>
      </c>
      <c r="H642" s="16">
        <v>7128</v>
      </c>
      <c r="I642" s="16">
        <v>13156</v>
      </c>
      <c r="J642" s="16">
        <v>5652</v>
      </c>
    </row>
    <row r="643" spans="3:10" x14ac:dyDescent="0.2">
      <c r="E643" s="14"/>
    </row>
    <row r="644" spans="3:10" x14ac:dyDescent="0.2">
      <c r="C644" s="5" t="s">
        <v>57</v>
      </c>
      <c r="E644" s="17">
        <v>5</v>
      </c>
      <c r="F644" s="16">
        <v>415</v>
      </c>
      <c r="G644" s="16">
        <v>2391</v>
      </c>
      <c r="H644" s="16">
        <v>6131</v>
      </c>
      <c r="I644" s="16">
        <v>12256</v>
      </c>
      <c r="J644" s="16">
        <v>5739</v>
      </c>
    </row>
    <row r="645" spans="3:10" x14ac:dyDescent="0.2">
      <c r="C645" s="5" t="s">
        <v>56</v>
      </c>
      <c r="E645" s="17">
        <v>5</v>
      </c>
      <c r="F645" s="16">
        <v>42</v>
      </c>
      <c r="G645" s="16">
        <v>128</v>
      </c>
      <c r="H645" s="16">
        <v>452</v>
      </c>
      <c r="I645" s="16">
        <v>855</v>
      </c>
      <c r="J645" s="16">
        <v>385</v>
      </c>
    </row>
    <row r="646" spans="3:10" x14ac:dyDescent="0.2">
      <c r="C646" s="5" t="s">
        <v>55</v>
      </c>
      <c r="E646" s="17">
        <v>3</v>
      </c>
      <c r="F646" s="16">
        <v>36</v>
      </c>
      <c r="G646" s="16">
        <v>130</v>
      </c>
      <c r="H646" s="16">
        <v>801</v>
      </c>
      <c r="I646" s="16">
        <v>1258</v>
      </c>
      <c r="J646" s="16">
        <v>429</v>
      </c>
    </row>
    <row r="647" spans="3:10" x14ac:dyDescent="0.2">
      <c r="C647" s="5" t="s">
        <v>54</v>
      </c>
      <c r="E647" s="17">
        <v>4</v>
      </c>
      <c r="F647" s="16">
        <v>45</v>
      </c>
      <c r="G647" s="16">
        <v>158</v>
      </c>
      <c r="H647" s="16">
        <v>888</v>
      </c>
      <c r="I647" s="16">
        <v>1416</v>
      </c>
      <c r="J647" s="16">
        <v>494</v>
      </c>
    </row>
    <row r="648" spans="3:10" x14ac:dyDescent="0.2">
      <c r="E648" s="14"/>
    </row>
    <row r="649" spans="3:10" x14ac:dyDescent="0.2">
      <c r="C649" s="5" t="s">
        <v>53</v>
      </c>
      <c r="E649" s="17">
        <v>4</v>
      </c>
      <c r="F649" s="16">
        <v>43</v>
      </c>
      <c r="G649" s="16">
        <v>171</v>
      </c>
      <c r="H649" s="16">
        <v>895</v>
      </c>
      <c r="I649" s="16">
        <v>1405</v>
      </c>
      <c r="J649" s="16">
        <v>477</v>
      </c>
    </row>
    <row r="650" spans="3:10" x14ac:dyDescent="0.2">
      <c r="C650" s="5" t="s">
        <v>52</v>
      </c>
      <c r="E650" s="17">
        <v>4</v>
      </c>
      <c r="F650" s="16">
        <v>55</v>
      </c>
      <c r="G650" s="16">
        <v>170</v>
      </c>
      <c r="H650" s="16">
        <v>931</v>
      </c>
      <c r="I650" s="16">
        <v>1455</v>
      </c>
      <c r="J650" s="16">
        <v>504</v>
      </c>
    </row>
    <row r="651" spans="3:10" x14ac:dyDescent="0.2">
      <c r="C651" s="5" t="s">
        <v>51</v>
      </c>
      <c r="E651" s="17">
        <v>4</v>
      </c>
      <c r="F651" s="16">
        <v>237</v>
      </c>
      <c r="G651" s="16">
        <v>794</v>
      </c>
      <c r="H651" s="16">
        <v>1368</v>
      </c>
      <c r="I651" s="16">
        <v>3162</v>
      </c>
      <c r="J651" s="16">
        <v>1670</v>
      </c>
    </row>
    <row r="652" spans="3:10" x14ac:dyDescent="0.2">
      <c r="C652" s="5" t="s">
        <v>50</v>
      </c>
      <c r="E652" s="17">
        <v>4</v>
      </c>
      <c r="F652" s="16">
        <v>222</v>
      </c>
      <c r="G652" s="16">
        <v>645</v>
      </c>
      <c r="H652" s="16">
        <v>1584</v>
      </c>
      <c r="I652" s="16">
        <v>3009</v>
      </c>
      <c r="J652" s="16">
        <v>1243</v>
      </c>
    </row>
    <row r="653" spans="3:10" x14ac:dyDescent="0.2">
      <c r="E653" s="14"/>
    </row>
    <row r="654" spans="3:10" x14ac:dyDescent="0.2">
      <c r="C654" s="5" t="s">
        <v>49</v>
      </c>
      <c r="E654" s="17">
        <v>3</v>
      </c>
      <c r="F654" s="16">
        <v>55</v>
      </c>
      <c r="G654" s="16">
        <v>173</v>
      </c>
      <c r="H654" s="16">
        <v>1193</v>
      </c>
      <c r="I654" s="16">
        <v>1481</v>
      </c>
      <c r="J654" s="16">
        <v>172</v>
      </c>
    </row>
    <row r="655" spans="3:10" x14ac:dyDescent="0.2">
      <c r="C655" s="5" t="s">
        <v>48</v>
      </c>
      <c r="E655" s="17">
        <v>3</v>
      </c>
      <c r="F655" s="16">
        <v>70</v>
      </c>
      <c r="G655" s="16">
        <v>223</v>
      </c>
      <c r="H655" s="16">
        <v>1347</v>
      </c>
      <c r="I655" s="16">
        <v>1639</v>
      </c>
      <c r="J655" s="16">
        <v>138</v>
      </c>
    </row>
    <row r="656" spans="3:10" x14ac:dyDescent="0.2">
      <c r="C656" s="5" t="s">
        <v>47</v>
      </c>
      <c r="E656" s="17">
        <v>2</v>
      </c>
      <c r="F656" s="21" t="s">
        <v>46</v>
      </c>
      <c r="G656" s="21" t="s">
        <v>46</v>
      </c>
      <c r="H656" s="21" t="s">
        <v>46</v>
      </c>
      <c r="I656" s="21" t="s">
        <v>46</v>
      </c>
      <c r="J656" s="21" t="s">
        <v>46</v>
      </c>
    </row>
    <row r="657" spans="1:11" x14ac:dyDescent="0.2">
      <c r="C657" s="5" t="s">
        <v>45</v>
      </c>
      <c r="D657" s="2"/>
      <c r="E657" s="17">
        <v>7</v>
      </c>
      <c r="F657" s="21">
        <v>181</v>
      </c>
      <c r="G657" s="21">
        <v>848</v>
      </c>
      <c r="H657" s="21">
        <v>3696</v>
      </c>
      <c r="I657" s="21">
        <v>5848</v>
      </c>
      <c r="J657" s="21">
        <v>2116</v>
      </c>
    </row>
    <row r="658" spans="1:11" x14ac:dyDescent="0.2">
      <c r="C658" s="1" t="s">
        <v>44</v>
      </c>
      <c r="D658" s="2"/>
      <c r="E658" s="3">
        <v>7</v>
      </c>
      <c r="F658" s="20">
        <v>180</v>
      </c>
      <c r="G658" s="20">
        <v>841</v>
      </c>
      <c r="H658" s="20">
        <v>3413</v>
      </c>
      <c r="I658" s="20">
        <v>5636</v>
      </c>
      <c r="J658" s="20">
        <v>1895</v>
      </c>
      <c r="K658" s="20"/>
    </row>
    <row r="659" spans="1:11" ht="18" thickBot="1" x14ac:dyDescent="0.25">
      <c r="B659" s="9"/>
      <c r="C659" s="9"/>
      <c r="D659" s="9"/>
      <c r="E659" s="19"/>
      <c r="F659" s="9"/>
      <c r="G659" s="9"/>
      <c r="H659" s="9"/>
      <c r="I659" s="9"/>
      <c r="J659" s="9"/>
    </row>
    <row r="660" spans="1:11" x14ac:dyDescent="0.2">
      <c r="D660" s="5" t="s">
        <v>87</v>
      </c>
      <c r="E660" s="5"/>
      <c r="H660" s="5" t="s">
        <v>42</v>
      </c>
    </row>
    <row r="661" spans="1:11" x14ac:dyDescent="0.2">
      <c r="H661" s="5" t="s">
        <v>41</v>
      </c>
    </row>
    <row r="663" spans="1:11" x14ac:dyDescent="0.2">
      <c r="A663" s="5"/>
    </row>
    <row r="664" spans="1:11" x14ac:dyDescent="0.2">
      <c r="A664" s="5"/>
    </row>
    <row r="669" spans="1:11" x14ac:dyDescent="0.2">
      <c r="C669" s="2"/>
      <c r="D669" s="2"/>
      <c r="E669" s="2"/>
      <c r="F669" s="1" t="s">
        <v>81</v>
      </c>
    </row>
    <row r="670" spans="1:11" x14ac:dyDescent="0.2">
      <c r="F670" s="5" t="s">
        <v>80</v>
      </c>
    </row>
    <row r="671" spans="1:11" ht="18" thickBot="1" x14ac:dyDescent="0.25">
      <c r="B671" s="9"/>
      <c r="C671" s="9"/>
      <c r="D671" s="9"/>
      <c r="E671" s="9"/>
      <c r="F671" s="10" t="s">
        <v>79</v>
      </c>
      <c r="G671" s="9"/>
      <c r="H671" s="9"/>
      <c r="I671" s="9"/>
      <c r="J671" s="9"/>
    </row>
    <row r="672" spans="1:11" x14ac:dyDescent="0.2">
      <c r="E672" s="14"/>
      <c r="F672" s="11"/>
      <c r="G672" s="11"/>
      <c r="H672" s="11"/>
      <c r="I672" s="11"/>
      <c r="J672" s="11"/>
    </row>
    <row r="673" spans="2:10" x14ac:dyDescent="0.2">
      <c r="E673" s="25"/>
      <c r="F673" s="13"/>
      <c r="G673" s="24" t="s">
        <v>86</v>
      </c>
      <c r="H673" s="13"/>
      <c r="I673" s="13"/>
      <c r="J673" s="13"/>
    </row>
    <row r="674" spans="2:10" x14ac:dyDescent="0.2">
      <c r="E674" s="14"/>
      <c r="F674" s="14"/>
      <c r="G674" s="14"/>
      <c r="H674" s="12" t="s">
        <v>76</v>
      </c>
      <c r="I674" s="12" t="s">
        <v>75</v>
      </c>
      <c r="J674" s="12" t="s">
        <v>74</v>
      </c>
    </row>
    <row r="675" spans="2:10" x14ac:dyDescent="0.2">
      <c r="B675" s="13"/>
      <c r="C675" s="13"/>
      <c r="D675" s="13"/>
      <c r="E675" s="15" t="s">
        <v>73</v>
      </c>
      <c r="F675" s="15" t="s">
        <v>72</v>
      </c>
      <c r="G675" s="15" t="s">
        <v>71</v>
      </c>
      <c r="H675" s="23" t="s">
        <v>70</v>
      </c>
      <c r="I675" s="23" t="s">
        <v>69</v>
      </c>
      <c r="J675" s="23" t="s">
        <v>68</v>
      </c>
    </row>
    <row r="676" spans="2:10" x14ac:dyDescent="0.2">
      <c r="E676" s="14"/>
      <c r="F676" s="22" t="s">
        <v>67</v>
      </c>
      <c r="G676" s="22" t="s">
        <v>66</v>
      </c>
      <c r="H676" s="22" t="s">
        <v>66</v>
      </c>
      <c r="I676" s="22" t="s">
        <v>66</v>
      </c>
      <c r="J676" s="22" t="s">
        <v>66</v>
      </c>
    </row>
    <row r="677" spans="2:10" x14ac:dyDescent="0.2">
      <c r="C677" s="5" t="s">
        <v>65</v>
      </c>
      <c r="E677" s="17">
        <v>318</v>
      </c>
      <c r="F677" s="16">
        <v>3342</v>
      </c>
      <c r="G677" s="16">
        <f>6688+0.4</f>
        <v>6688.4</v>
      </c>
      <c r="H677" s="16">
        <f>16302+0.4</f>
        <v>16302.4</v>
      </c>
      <c r="I677" s="16">
        <f>32035+0.4</f>
        <v>32035.4</v>
      </c>
      <c r="J677" s="16">
        <v>15192</v>
      </c>
    </row>
    <row r="678" spans="2:10" x14ac:dyDescent="0.2">
      <c r="C678" s="5" t="s">
        <v>64</v>
      </c>
      <c r="E678" s="17">
        <v>314</v>
      </c>
      <c r="F678" s="16">
        <v>3198</v>
      </c>
      <c r="G678" s="16">
        <v>6873</v>
      </c>
      <c r="H678" s="16">
        <v>19601</v>
      </c>
      <c r="I678" s="16">
        <v>35053</v>
      </c>
      <c r="J678" s="16">
        <v>14931</v>
      </c>
    </row>
    <row r="679" spans="2:10" x14ac:dyDescent="0.2">
      <c r="C679" s="5" t="s">
        <v>63</v>
      </c>
      <c r="E679" s="17">
        <v>223</v>
      </c>
      <c r="F679" s="16">
        <v>3111</v>
      </c>
      <c r="G679" s="16">
        <v>7363</v>
      </c>
      <c r="H679" s="16">
        <v>21366</v>
      </c>
      <c r="I679" s="16">
        <v>39252</v>
      </c>
      <c r="J679" s="16">
        <v>17234</v>
      </c>
    </row>
    <row r="680" spans="2:10" x14ac:dyDescent="0.2">
      <c r="C680" s="5" t="s">
        <v>62</v>
      </c>
      <c r="E680" s="17">
        <v>214</v>
      </c>
      <c r="F680" s="16">
        <v>2957</v>
      </c>
      <c r="G680" s="16">
        <v>7349</v>
      </c>
      <c r="H680" s="16">
        <v>20367</v>
      </c>
      <c r="I680" s="16">
        <v>37693</v>
      </c>
      <c r="J680" s="16">
        <v>16332</v>
      </c>
    </row>
    <row r="681" spans="2:10" x14ac:dyDescent="0.2">
      <c r="E681" s="14"/>
    </row>
    <row r="682" spans="2:10" x14ac:dyDescent="0.2">
      <c r="C682" s="5" t="s">
        <v>61</v>
      </c>
      <c r="E682" s="17">
        <v>210</v>
      </c>
      <c r="F682" s="16">
        <v>2850</v>
      </c>
      <c r="G682" s="16">
        <v>7225</v>
      </c>
      <c r="H682" s="16">
        <v>20810</v>
      </c>
      <c r="I682" s="16">
        <v>37973</v>
      </c>
      <c r="J682" s="16">
        <v>16481</v>
      </c>
    </row>
    <row r="683" spans="2:10" x14ac:dyDescent="0.2">
      <c r="C683" s="5" t="s">
        <v>60</v>
      </c>
      <c r="E683" s="17">
        <v>189</v>
      </c>
      <c r="F683" s="16">
        <v>2876</v>
      </c>
      <c r="G683" s="16">
        <v>7595</v>
      </c>
      <c r="H683" s="16">
        <v>23921</v>
      </c>
      <c r="I683" s="16">
        <v>43127</v>
      </c>
      <c r="J683" s="16">
        <v>18422</v>
      </c>
    </row>
    <row r="684" spans="2:10" x14ac:dyDescent="0.2">
      <c r="C684" s="5" t="s">
        <v>59</v>
      </c>
      <c r="E684" s="17">
        <v>191</v>
      </c>
      <c r="F684" s="16">
        <v>2946</v>
      </c>
      <c r="G684" s="16">
        <v>8600</v>
      </c>
      <c r="H684" s="16">
        <v>23734</v>
      </c>
      <c r="I684" s="16">
        <v>46459</v>
      </c>
      <c r="J684" s="16">
        <v>22904</v>
      </c>
    </row>
    <row r="685" spans="2:10" x14ac:dyDescent="0.2">
      <c r="C685" s="5" t="s">
        <v>58</v>
      </c>
      <c r="E685" s="17">
        <v>204</v>
      </c>
      <c r="F685" s="16">
        <v>3100</v>
      </c>
      <c r="G685" s="16">
        <v>9504</v>
      </c>
      <c r="H685" s="16">
        <v>24882</v>
      </c>
      <c r="I685" s="16">
        <v>51692</v>
      </c>
      <c r="J685" s="16">
        <v>24752</v>
      </c>
    </row>
    <row r="686" spans="2:10" x14ac:dyDescent="0.2">
      <c r="E686" s="14"/>
    </row>
    <row r="687" spans="2:10" x14ac:dyDescent="0.2">
      <c r="C687" s="5" t="s">
        <v>57</v>
      </c>
      <c r="E687" s="17">
        <v>192</v>
      </c>
      <c r="F687" s="16">
        <v>2945</v>
      </c>
      <c r="G687" s="16">
        <v>9000</v>
      </c>
      <c r="H687" s="16">
        <v>23051</v>
      </c>
      <c r="I687" s="16">
        <v>49773</v>
      </c>
      <c r="J687" s="16">
        <v>25801</v>
      </c>
    </row>
    <row r="688" spans="2:10" x14ac:dyDescent="0.2">
      <c r="C688" s="5" t="s">
        <v>56</v>
      </c>
      <c r="E688" s="17">
        <v>215</v>
      </c>
      <c r="F688" s="16">
        <v>3259</v>
      </c>
      <c r="G688" s="16">
        <v>10073</v>
      </c>
      <c r="H688" s="16">
        <v>27564</v>
      </c>
      <c r="I688" s="16">
        <v>56081</v>
      </c>
      <c r="J688" s="16">
        <v>28096</v>
      </c>
    </row>
    <row r="689" spans="2:10" x14ac:dyDescent="0.2">
      <c r="C689" s="5" t="s">
        <v>55</v>
      </c>
      <c r="E689" s="17">
        <v>205</v>
      </c>
      <c r="F689" s="16">
        <v>3202</v>
      </c>
      <c r="G689" s="16">
        <v>10376</v>
      </c>
      <c r="H689" s="16">
        <v>29023</v>
      </c>
      <c r="I689" s="16">
        <v>58846</v>
      </c>
      <c r="J689" s="16">
        <v>28102</v>
      </c>
    </row>
    <row r="690" spans="2:10" x14ac:dyDescent="0.2">
      <c r="C690" s="5" t="s">
        <v>54</v>
      </c>
      <c r="E690" s="17">
        <v>229</v>
      </c>
      <c r="F690" s="16">
        <v>3406</v>
      </c>
      <c r="G690" s="16">
        <v>11364</v>
      </c>
      <c r="H690" s="16">
        <v>32979</v>
      </c>
      <c r="I690" s="16">
        <v>66678</v>
      </c>
      <c r="J690" s="16">
        <v>31554</v>
      </c>
    </row>
    <row r="691" spans="2:10" x14ac:dyDescent="0.2">
      <c r="E691" s="14"/>
    </row>
    <row r="692" spans="2:10" x14ac:dyDescent="0.2">
      <c r="C692" s="5" t="s">
        <v>53</v>
      </c>
      <c r="E692" s="17">
        <v>218</v>
      </c>
      <c r="F692" s="16">
        <v>3521</v>
      </c>
      <c r="G692" s="16">
        <v>12538</v>
      </c>
      <c r="H692" s="16">
        <v>33639</v>
      </c>
      <c r="I692" s="16">
        <v>69572</v>
      </c>
      <c r="J692" s="16">
        <v>33798</v>
      </c>
    </row>
    <row r="693" spans="2:10" x14ac:dyDescent="0.2">
      <c r="C693" s="5" t="s">
        <v>52</v>
      </c>
      <c r="E693" s="17">
        <v>207</v>
      </c>
      <c r="F693" s="16">
        <v>3649</v>
      </c>
      <c r="G693" s="16">
        <v>14269</v>
      </c>
      <c r="H693" s="16">
        <v>38612</v>
      </c>
      <c r="I693" s="16">
        <v>81733</v>
      </c>
      <c r="J693" s="16">
        <v>40584</v>
      </c>
    </row>
    <row r="694" spans="2:10" x14ac:dyDescent="0.2">
      <c r="C694" s="5" t="s">
        <v>51</v>
      </c>
      <c r="E694" s="17">
        <v>220</v>
      </c>
      <c r="F694" s="16">
        <v>4006</v>
      </c>
      <c r="G694" s="16">
        <v>16555</v>
      </c>
      <c r="H694" s="16">
        <v>47111</v>
      </c>
      <c r="I694" s="16">
        <v>102320</v>
      </c>
      <c r="J694" s="16">
        <v>57102</v>
      </c>
    </row>
    <row r="695" spans="2:10" x14ac:dyDescent="0.2">
      <c r="C695" s="5" t="s">
        <v>50</v>
      </c>
      <c r="E695" s="17">
        <v>206</v>
      </c>
      <c r="F695" s="16">
        <v>3858</v>
      </c>
      <c r="G695" s="16">
        <v>17189</v>
      </c>
      <c r="H695" s="16">
        <v>37312</v>
      </c>
      <c r="I695" s="16">
        <v>93989</v>
      </c>
      <c r="J695" s="16">
        <v>54219</v>
      </c>
    </row>
    <row r="696" spans="2:10" x14ac:dyDescent="0.2">
      <c r="E696" s="14"/>
    </row>
    <row r="697" spans="2:10" x14ac:dyDescent="0.2">
      <c r="C697" s="5" t="s">
        <v>49</v>
      </c>
      <c r="E697" s="17">
        <v>216</v>
      </c>
      <c r="F697" s="16">
        <v>3863</v>
      </c>
      <c r="G697" s="16">
        <v>16768</v>
      </c>
      <c r="H697" s="16">
        <v>36532</v>
      </c>
      <c r="I697" s="16">
        <v>95742</v>
      </c>
      <c r="J697" s="16">
        <v>50183</v>
      </c>
    </row>
    <row r="698" spans="2:10" x14ac:dyDescent="0.2">
      <c r="C698" s="5" t="s">
        <v>48</v>
      </c>
      <c r="E698" s="17">
        <v>203</v>
      </c>
      <c r="F698" s="16">
        <v>3770</v>
      </c>
      <c r="G698" s="16">
        <v>16465</v>
      </c>
      <c r="H698" s="16">
        <v>37620</v>
      </c>
      <c r="I698" s="16">
        <v>97604</v>
      </c>
      <c r="J698" s="16">
        <v>55281</v>
      </c>
    </row>
    <row r="699" spans="2:10" x14ac:dyDescent="0.2">
      <c r="C699" s="5" t="s">
        <v>47</v>
      </c>
      <c r="E699" s="17">
        <v>201</v>
      </c>
      <c r="F699" s="16">
        <v>4066</v>
      </c>
      <c r="G699" s="16">
        <v>17461</v>
      </c>
      <c r="H699" s="16">
        <v>39565</v>
      </c>
      <c r="I699" s="16">
        <v>97560</v>
      </c>
      <c r="J699" s="16">
        <v>55172</v>
      </c>
    </row>
    <row r="700" spans="2:10" x14ac:dyDescent="0.2">
      <c r="C700" s="5" t="s">
        <v>45</v>
      </c>
      <c r="D700" s="2"/>
      <c r="E700" s="17">
        <v>219</v>
      </c>
      <c r="F700" s="16">
        <v>4018</v>
      </c>
      <c r="G700" s="16">
        <v>17104</v>
      </c>
      <c r="H700" s="16">
        <v>36710</v>
      </c>
      <c r="I700" s="16">
        <v>91308</v>
      </c>
      <c r="J700" s="16">
        <v>53203</v>
      </c>
    </row>
    <row r="701" spans="2:10" x14ac:dyDescent="0.2">
      <c r="C701" s="1" t="s">
        <v>44</v>
      </c>
      <c r="D701" s="2"/>
      <c r="E701" s="3">
        <v>207</v>
      </c>
      <c r="F701" s="20">
        <v>3680</v>
      </c>
      <c r="G701" s="20">
        <v>15429</v>
      </c>
      <c r="H701" s="20">
        <v>34160</v>
      </c>
      <c r="I701" s="20">
        <v>94058</v>
      </c>
      <c r="J701" s="20">
        <v>52356</v>
      </c>
    </row>
    <row r="702" spans="2:10" ht="18" thickBot="1" x14ac:dyDescent="0.25">
      <c r="B702" s="9"/>
      <c r="C702" s="9"/>
      <c r="D702" s="9"/>
      <c r="E702" s="19"/>
      <c r="F702" s="9"/>
      <c r="G702" s="9"/>
      <c r="H702" s="9"/>
      <c r="I702" s="9"/>
      <c r="J702" s="9"/>
    </row>
    <row r="703" spans="2:10" x14ac:dyDescent="0.2">
      <c r="E703" s="14"/>
      <c r="F703" s="11"/>
      <c r="G703" s="11"/>
      <c r="H703" s="11"/>
      <c r="I703" s="11"/>
      <c r="J703" s="11"/>
    </row>
    <row r="704" spans="2:10" x14ac:dyDescent="0.2">
      <c r="E704" s="25"/>
      <c r="F704" s="13"/>
      <c r="G704" s="24" t="s">
        <v>85</v>
      </c>
      <c r="H704" s="13"/>
      <c r="I704" s="13"/>
      <c r="J704" s="13"/>
    </row>
    <row r="705" spans="2:10" x14ac:dyDescent="0.2">
      <c r="E705" s="14"/>
      <c r="F705" s="14"/>
      <c r="G705" s="14"/>
      <c r="H705" s="12" t="s">
        <v>76</v>
      </c>
      <c r="I705" s="12" t="s">
        <v>75</v>
      </c>
      <c r="J705" s="12" t="s">
        <v>74</v>
      </c>
    </row>
    <row r="706" spans="2:10" x14ac:dyDescent="0.2">
      <c r="B706" s="13"/>
      <c r="C706" s="13"/>
      <c r="D706" s="13"/>
      <c r="E706" s="15" t="s">
        <v>73</v>
      </c>
      <c r="F706" s="15" t="s">
        <v>72</v>
      </c>
      <c r="G706" s="15" t="s">
        <v>71</v>
      </c>
      <c r="H706" s="23" t="s">
        <v>70</v>
      </c>
      <c r="I706" s="23" t="s">
        <v>69</v>
      </c>
      <c r="J706" s="23" t="s">
        <v>68</v>
      </c>
    </row>
    <row r="707" spans="2:10" x14ac:dyDescent="0.2">
      <c r="E707" s="14"/>
      <c r="F707" s="22" t="s">
        <v>67</v>
      </c>
      <c r="G707" s="22" t="s">
        <v>66</v>
      </c>
      <c r="H707" s="22" t="s">
        <v>66</v>
      </c>
      <c r="I707" s="22" t="s">
        <v>66</v>
      </c>
      <c r="J707" s="22" t="s">
        <v>66</v>
      </c>
    </row>
    <row r="708" spans="2:10" x14ac:dyDescent="0.2">
      <c r="C708" s="5" t="s">
        <v>65</v>
      </c>
      <c r="E708" s="17">
        <v>294</v>
      </c>
      <c r="F708" s="16">
        <v>4649</v>
      </c>
      <c r="G708" s="16">
        <f>12513+0.4</f>
        <v>12513.4</v>
      </c>
      <c r="H708" s="16">
        <f>34165+0.4</f>
        <v>34165.4</v>
      </c>
      <c r="I708" s="16">
        <f>64285+0.4</f>
        <v>64285.4</v>
      </c>
      <c r="J708" s="16">
        <v>30532</v>
      </c>
    </row>
    <row r="709" spans="2:10" x14ac:dyDescent="0.2">
      <c r="C709" s="5" t="s">
        <v>64</v>
      </c>
      <c r="E709" s="17">
        <v>293</v>
      </c>
      <c r="F709" s="16">
        <v>4740</v>
      </c>
      <c r="G709" s="16">
        <v>13521</v>
      </c>
      <c r="H709" s="16">
        <v>38540</v>
      </c>
      <c r="I709" s="16">
        <v>68520</v>
      </c>
      <c r="J709" s="16">
        <v>30161</v>
      </c>
    </row>
    <row r="710" spans="2:10" x14ac:dyDescent="0.2">
      <c r="C710" s="5" t="s">
        <v>63</v>
      </c>
      <c r="E710" s="17">
        <v>212</v>
      </c>
      <c r="F710" s="16">
        <v>4767</v>
      </c>
      <c r="G710" s="16">
        <v>14245</v>
      </c>
      <c r="H710" s="16">
        <v>43542</v>
      </c>
      <c r="I710" s="16">
        <v>82009</v>
      </c>
      <c r="J710" s="16">
        <v>36524</v>
      </c>
    </row>
    <row r="711" spans="2:10" x14ac:dyDescent="0.2">
      <c r="C711" s="5" t="s">
        <v>62</v>
      </c>
      <c r="E711" s="17">
        <v>204</v>
      </c>
      <c r="F711" s="16">
        <v>4599</v>
      </c>
      <c r="G711" s="16">
        <v>14851</v>
      </c>
      <c r="H711" s="16">
        <v>42552</v>
      </c>
      <c r="I711" s="16">
        <v>84731</v>
      </c>
      <c r="J711" s="16">
        <v>43453</v>
      </c>
    </row>
    <row r="712" spans="2:10" x14ac:dyDescent="0.2">
      <c r="E712" s="14"/>
    </row>
    <row r="713" spans="2:10" x14ac:dyDescent="0.2">
      <c r="C713" s="5" t="s">
        <v>61</v>
      </c>
      <c r="E713" s="17">
        <v>212</v>
      </c>
      <c r="F713" s="16">
        <v>4619</v>
      </c>
      <c r="G713" s="16">
        <v>14742</v>
      </c>
      <c r="H713" s="16">
        <v>45197</v>
      </c>
      <c r="I713" s="16">
        <v>91042</v>
      </c>
      <c r="J713" s="16">
        <v>43517</v>
      </c>
    </row>
    <row r="714" spans="2:10" x14ac:dyDescent="0.2">
      <c r="C714" s="5" t="s">
        <v>60</v>
      </c>
      <c r="E714" s="17">
        <v>202</v>
      </c>
      <c r="F714" s="16">
        <v>4608</v>
      </c>
      <c r="G714" s="16">
        <v>15806</v>
      </c>
      <c r="H714" s="16">
        <v>54317</v>
      </c>
      <c r="I714" s="16">
        <v>102087</v>
      </c>
      <c r="J714" s="16">
        <v>45061</v>
      </c>
    </row>
    <row r="715" spans="2:10" x14ac:dyDescent="0.2">
      <c r="C715" s="5" t="s">
        <v>59</v>
      </c>
      <c r="E715" s="17">
        <v>217</v>
      </c>
      <c r="F715" s="16">
        <v>4937</v>
      </c>
      <c r="G715" s="16">
        <v>18101</v>
      </c>
      <c r="H715" s="16">
        <v>62691</v>
      </c>
      <c r="I715" s="16">
        <v>115644</v>
      </c>
      <c r="J715" s="16">
        <v>53254</v>
      </c>
    </row>
    <row r="716" spans="2:10" x14ac:dyDescent="0.2">
      <c r="C716" s="5" t="s">
        <v>58</v>
      </c>
      <c r="E716" s="17">
        <v>219</v>
      </c>
      <c r="F716" s="16">
        <v>4860</v>
      </c>
      <c r="G716" s="16">
        <v>17940</v>
      </c>
      <c r="H716" s="16">
        <v>61734</v>
      </c>
      <c r="I716" s="16">
        <v>119234</v>
      </c>
      <c r="J716" s="16">
        <v>49459</v>
      </c>
    </row>
    <row r="717" spans="2:10" x14ac:dyDescent="0.2">
      <c r="E717" s="14"/>
    </row>
    <row r="718" spans="2:10" x14ac:dyDescent="0.2">
      <c r="C718" s="5" t="s">
        <v>57</v>
      </c>
      <c r="E718" s="17">
        <v>210</v>
      </c>
      <c r="F718" s="16">
        <v>4853</v>
      </c>
      <c r="G718" s="16">
        <v>18938</v>
      </c>
      <c r="H718" s="16">
        <v>62262</v>
      </c>
      <c r="I718" s="16">
        <v>126978</v>
      </c>
      <c r="J718" s="16">
        <v>60134</v>
      </c>
    </row>
    <row r="719" spans="2:10" x14ac:dyDescent="0.2">
      <c r="C719" s="5" t="s">
        <v>56</v>
      </c>
      <c r="E719" s="17">
        <v>201</v>
      </c>
      <c r="F719" s="16">
        <v>4908</v>
      </c>
      <c r="G719" s="16">
        <v>19278</v>
      </c>
      <c r="H719" s="16">
        <v>74879</v>
      </c>
      <c r="I719" s="16">
        <v>141621</v>
      </c>
      <c r="J719" s="16">
        <v>64124</v>
      </c>
    </row>
    <row r="720" spans="2:10" x14ac:dyDescent="0.2">
      <c r="C720" s="5" t="s">
        <v>55</v>
      </c>
      <c r="E720" s="17">
        <v>211</v>
      </c>
      <c r="F720" s="16">
        <v>5408</v>
      </c>
      <c r="G720" s="16">
        <v>22238</v>
      </c>
      <c r="H720" s="16">
        <v>79529</v>
      </c>
      <c r="I720" s="16">
        <v>150530</v>
      </c>
      <c r="J720" s="16">
        <v>67359</v>
      </c>
    </row>
    <row r="721" spans="2:10" x14ac:dyDescent="0.2">
      <c r="C721" s="5" t="s">
        <v>54</v>
      </c>
      <c r="E721" s="17">
        <v>229</v>
      </c>
      <c r="F721" s="16">
        <v>6224</v>
      </c>
      <c r="G721" s="16">
        <v>26000</v>
      </c>
      <c r="H721" s="16">
        <v>94057</v>
      </c>
      <c r="I721" s="16">
        <v>187626</v>
      </c>
      <c r="J721" s="16">
        <v>87379</v>
      </c>
    </row>
    <row r="722" spans="2:10" x14ac:dyDescent="0.2">
      <c r="E722" s="14"/>
    </row>
    <row r="723" spans="2:10" x14ac:dyDescent="0.2">
      <c r="C723" s="5" t="s">
        <v>53</v>
      </c>
      <c r="E723" s="17">
        <v>225</v>
      </c>
      <c r="F723" s="16">
        <v>6573</v>
      </c>
      <c r="G723" s="16">
        <v>28218</v>
      </c>
      <c r="H723" s="16">
        <v>110174</v>
      </c>
      <c r="I723" s="16">
        <v>207847</v>
      </c>
      <c r="J723" s="16">
        <v>96608</v>
      </c>
    </row>
    <row r="724" spans="2:10" x14ac:dyDescent="0.2">
      <c r="C724" s="5" t="s">
        <v>52</v>
      </c>
      <c r="E724" s="17">
        <v>227</v>
      </c>
      <c r="F724" s="16">
        <v>7031</v>
      </c>
      <c r="G724" s="16">
        <v>31176</v>
      </c>
      <c r="H724" s="16">
        <v>110233</v>
      </c>
      <c r="I724" s="16">
        <v>210315</v>
      </c>
      <c r="J724" s="16">
        <v>93446</v>
      </c>
    </row>
    <row r="725" spans="2:10" x14ac:dyDescent="0.2">
      <c r="C725" s="5" t="s">
        <v>51</v>
      </c>
      <c r="E725" s="17">
        <v>225</v>
      </c>
      <c r="F725" s="16">
        <v>6596</v>
      </c>
      <c r="G725" s="16">
        <v>29611</v>
      </c>
      <c r="H725" s="16">
        <v>94735</v>
      </c>
      <c r="I725" s="16">
        <v>205332</v>
      </c>
      <c r="J725" s="16">
        <v>102746</v>
      </c>
    </row>
    <row r="726" spans="2:10" x14ac:dyDescent="0.2">
      <c r="C726" s="5" t="s">
        <v>50</v>
      </c>
      <c r="E726" s="17">
        <v>206</v>
      </c>
      <c r="F726" s="16">
        <v>6055</v>
      </c>
      <c r="G726" s="16">
        <v>28028</v>
      </c>
      <c r="H726" s="16">
        <v>86954</v>
      </c>
      <c r="I726" s="16">
        <v>186829</v>
      </c>
      <c r="J726" s="16">
        <v>94917</v>
      </c>
    </row>
    <row r="727" spans="2:10" x14ac:dyDescent="0.2">
      <c r="E727" s="14"/>
    </row>
    <row r="728" spans="2:10" x14ac:dyDescent="0.2">
      <c r="C728" s="5" t="s">
        <v>49</v>
      </c>
      <c r="E728" s="17">
        <v>212</v>
      </c>
      <c r="F728" s="16">
        <v>6127</v>
      </c>
      <c r="G728" s="16">
        <v>28323</v>
      </c>
      <c r="H728" s="16">
        <v>89898</v>
      </c>
      <c r="I728" s="16">
        <v>198164</v>
      </c>
      <c r="J728" s="16">
        <v>101753</v>
      </c>
    </row>
    <row r="729" spans="2:10" x14ac:dyDescent="0.2">
      <c r="C729" s="5" t="s">
        <v>48</v>
      </c>
      <c r="E729" s="17">
        <v>197</v>
      </c>
      <c r="F729" s="16">
        <v>6047</v>
      </c>
      <c r="G729" s="16">
        <v>29583</v>
      </c>
      <c r="H729" s="16">
        <v>94349</v>
      </c>
      <c r="I729" s="16">
        <v>205753</v>
      </c>
      <c r="J729" s="16">
        <v>105114</v>
      </c>
    </row>
    <row r="730" spans="2:10" x14ac:dyDescent="0.2">
      <c r="C730" s="5" t="s">
        <v>47</v>
      </c>
      <c r="E730" s="17">
        <v>195</v>
      </c>
      <c r="F730" s="16">
        <v>5994</v>
      </c>
      <c r="G730" s="16">
        <v>29318</v>
      </c>
      <c r="H730" s="16">
        <v>97264</v>
      </c>
      <c r="I730" s="16">
        <v>206893</v>
      </c>
      <c r="J730" s="16">
        <v>103101</v>
      </c>
    </row>
    <row r="731" spans="2:10" x14ac:dyDescent="0.2">
      <c r="C731" s="5" t="s">
        <v>45</v>
      </c>
      <c r="D731" s="2"/>
      <c r="E731" s="17">
        <v>212</v>
      </c>
      <c r="F731" s="16">
        <v>6329</v>
      </c>
      <c r="G731" s="16">
        <v>31062</v>
      </c>
      <c r="H731" s="16">
        <v>94863</v>
      </c>
      <c r="I731" s="16">
        <v>210455</v>
      </c>
      <c r="J731" s="16">
        <v>106466</v>
      </c>
    </row>
    <row r="732" spans="2:10" x14ac:dyDescent="0.2">
      <c r="C732" s="1" t="s">
        <v>44</v>
      </c>
      <c r="D732" s="2"/>
      <c r="E732" s="3">
        <v>198</v>
      </c>
      <c r="F732" s="20">
        <v>6038</v>
      </c>
      <c r="G732" s="20">
        <v>28994</v>
      </c>
      <c r="H732" s="20">
        <v>82870</v>
      </c>
      <c r="I732" s="20">
        <v>188303</v>
      </c>
      <c r="J732" s="20">
        <v>99648</v>
      </c>
    </row>
    <row r="733" spans="2:10" ht="18" thickBot="1" x14ac:dyDescent="0.25">
      <c r="B733" s="9"/>
      <c r="C733" s="9"/>
      <c r="D733" s="9"/>
      <c r="E733" s="19"/>
      <c r="F733" s="9"/>
      <c r="G733" s="9"/>
      <c r="H733" s="9"/>
      <c r="I733" s="9"/>
      <c r="J733" s="9"/>
    </row>
    <row r="734" spans="2:10" x14ac:dyDescent="0.2">
      <c r="D734" s="5" t="s">
        <v>43</v>
      </c>
      <c r="E734" s="5"/>
      <c r="H734" s="5" t="s">
        <v>42</v>
      </c>
    </row>
    <row r="735" spans="2:10" x14ac:dyDescent="0.2">
      <c r="H735" s="5" t="s">
        <v>41</v>
      </c>
    </row>
    <row r="737" spans="1:10" x14ac:dyDescent="0.2">
      <c r="A737" s="5"/>
    </row>
    <row r="738" spans="1:10" x14ac:dyDescent="0.2">
      <c r="A738" s="5"/>
    </row>
    <row r="743" spans="1:10" x14ac:dyDescent="0.2">
      <c r="C743" s="2"/>
      <c r="D743" s="2"/>
      <c r="E743" s="2"/>
      <c r="F743" s="1" t="s">
        <v>81</v>
      </c>
    </row>
    <row r="744" spans="1:10" x14ac:dyDescent="0.2">
      <c r="F744" s="5" t="s">
        <v>80</v>
      </c>
    </row>
    <row r="745" spans="1:10" ht="18" thickBot="1" x14ac:dyDescent="0.25">
      <c r="B745" s="9"/>
      <c r="C745" s="9"/>
      <c r="D745" s="9"/>
      <c r="E745" s="9"/>
      <c r="F745" s="10" t="s">
        <v>79</v>
      </c>
      <c r="G745" s="9"/>
      <c r="H745" s="9"/>
      <c r="I745" s="9"/>
      <c r="J745" s="9"/>
    </row>
    <row r="746" spans="1:10" x14ac:dyDescent="0.2">
      <c r="E746" s="14"/>
      <c r="F746" s="11"/>
      <c r="G746" s="11"/>
      <c r="H746" s="11"/>
      <c r="I746" s="11"/>
      <c r="J746" s="11"/>
    </row>
    <row r="747" spans="1:10" x14ac:dyDescent="0.2">
      <c r="E747" s="25"/>
      <c r="F747" s="13"/>
      <c r="G747" s="24" t="s">
        <v>84</v>
      </c>
      <c r="H747" s="13"/>
      <c r="I747" s="13"/>
      <c r="J747" s="13"/>
    </row>
    <row r="748" spans="1:10" x14ac:dyDescent="0.2">
      <c r="E748" s="14"/>
      <c r="F748" s="14"/>
      <c r="G748" s="14"/>
      <c r="H748" s="12" t="s">
        <v>76</v>
      </c>
      <c r="I748" s="12" t="s">
        <v>75</v>
      </c>
      <c r="J748" s="12" t="s">
        <v>74</v>
      </c>
    </row>
    <row r="749" spans="1:10" x14ac:dyDescent="0.2">
      <c r="B749" s="13"/>
      <c r="C749" s="13"/>
      <c r="D749" s="13"/>
      <c r="E749" s="15" t="s">
        <v>73</v>
      </c>
      <c r="F749" s="15" t="s">
        <v>72</v>
      </c>
      <c r="G749" s="15" t="s">
        <v>71</v>
      </c>
      <c r="H749" s="23" t="s">
        <v>70</v>
      </c>
      <c r="I749" s="23" t="s">
        <v>69</v>
      </c>
      <c r="J749" s="23" t="s">
        <v>68</v>
      </c>
    </row>
    <row r="750" spans="1:10" x14ac:dyDescent="0.2">
      <c r="E750" s="14"/>
      <c r="F750" s="22" t="s">
        <v>67</v>
      </c>
      <c r="G750" s="22" t="s">
        <v>66</v>
      </c>
      <c r="H750" s="22" t="s">
        <v>66</v>
      </c>
      <c r="I750" s="22" t="s">
        <v>66</v>
      </c>
      <c r="J750" s="22" t="s">
        <v>66</v>
      </c>
    </row>
    <row r="751" spans="1:10" x14ac:dyDescent="0.2">
      <c r="C751" s="5" t="s">
        <v>65</v>
      </c>
      <c r="E751" s="17">
        <v>34</v>
      </c>
      <c r="F751" s="16">
        <v>548</v>
      </c>
      <c r="G751" s="16">
        <f>737+0.4</f>
        <v>737.4</v>
      </c>
      <c r="H751" s="16">
        <f>1549+0.4</f>
        <v>1549.4</v>
      </c>
      <c r="I751" s="16">
        <f>2950+0.4</f>
        <v>2950.4</v>
      </c>
      <c r="J751" s="16">
        <v>1348</v>
      </c>
    </row>
    <row r="752" spans="1:10" x14ac:dyDescent="0.2">
      <c r="C752" s="5" t="s">
        <v>64</v>
      </c>
      <c r="E752" s="17">
        <v>30</v>
      </c>
      <c r="F752" s="16">
        <v>510</v>
      </c>
      <c r="G752" s="16">
        <v>861</v>
      </c>
      <c r="H752" s="16">
        <v>1850</v>
      </c>
      <c r="I752" s="16">
        <v>3496</v>
      </c>
      <c r="J752" s="16">
        <v>1593</v>
      </c>
    </row>
    <row r="753" spans="3:10" x14ac:dyDescent="0.2">
      <c r="C753" s="5" t="s">
        <v>63</v>
      </c>
      <c r="E753" s="17">
        <v>33</v>
      </c>
      <c r="F753" s="16">
        <v>699</v>
      </c>
      <c r="G753" s="16">
        <v>1225</v>
      </c>
      <c r="H753" s="16">
        <v>3272</v>
      </c>
      <c r="I753" s="16">
        <v>5727</v>
      </c>
      <c r="J753" s="16">
        <v>2404</v>
      </c>
    </row>
    <row r="754" spans="3:10" x14ac:dyDescent="0.2">
      <c r="C754" s="5" t="s">
        <v>62</v>
      </c>
      <c r="E754" s="17">
        <v>35</v>
      </c>
      <c r="F754" s="16">
        <v>744</v>
      </c>
      <c r="G754" s="16">
        <v>1460</v>
      </c>
      <c r="H754" s="16">
        <v>3690</v>
      </c>
      <c r="I754" s="16">
        <v>6651</v>
      </c>
      <c r="J754" s="16">
        <v>2820</v>
      </c>
    </row>
    <row r="755" spans="3:10" x14ac:dyDescent="0.2">
      <c r="E755" s="14"/>
    </row>
    <row r="756" spans="3:10" x14ac:dyDescent="0.2">
      <c r="C756" s="5" t="s">
        <v>61</v>
      </c>
      <c r="E756" s="17">
        <v>32</v>
      </c>
      <c r="F756" s="16">
        <v>793</v>
      </c>
      <c r="G756" s="16">
        <v>1643</v>
      </c>
      <c r="H756" s="16">
        <v>4931</v>
      </c>
      <c r="I756" s="16">
        <v>8317</v>
      </c>
      <c r="J756" s="16">
        <v>3251</v>
      </c>
    </row>
    <row r="757" spans="3:10" x14ac:dyDescent="0.2">
      <c r="C757" s="5" t="s">
        <v>60</v>
      </c>
      <c r="E757" s="17">
        <v>32</v>
      </c>
      <c r="F757" s="16">
        <v>940</v>
      </c>
      <c r="G757" s="16">
        <v>1695</v>
      </c>
      <c r="H757" s="16">
        <v>4636</v>
      </c>
      <c r="I757" s="16">
        <v>8244</v>
      </c>
      <c r="J757" s="16">
        <v>3530</v>
      </c>
    </row>
    <row r="758" spans="3:10" x14ac:dyDescent="0.2">
      <c r="C758" s="5" t="s">
        <v>59</v>
      </c>
      <c r="E758" s="17">
        <v>41</v>
      </c>
      <c r="F758" s="16">
        <v>1085</v>
      </c>
      <c r="G758" s="16">
        <v>2217</v>
      </c>
      <c r="H758" s="16">
        <v>7019</v>
      </c>
      <c r="I758" s="16">
        <v>11767</v>
      </c>
      <c r="J758" s="16">
        <v>4687</v>
      </c>
    </row>
    <row r="759" spans="3:10" x14ac:dyDescent="0.2">
      <c r="C759" s="5" t="s">
        <v>58</v>
      </c>
      <c r="E759" s="17">
        <v>49</v>
      </c>
      <c r="F759" s="16">
        <v>1434</v>
      </c>
      <c r="G759" s="16">
        <v>3303</v>
      </c>
      <c r="H759" s="16">
        <v>9439</v>
      </c>
      <c r="I759" s="16">
        <v>21629</v>
      </c>
      <c r="J759" s="16">
        <v>11901</v>
      </c>
    </row>
    <row r="760" spans="3:10" x14ac:dyDescent="0.2">
      <c r="E760" s="14"/>
    </row>
    <row r="761" spans="3:10" x14ac:dyDescent="0.2">
      <c r="C761" s="5" t="s">
        <v>57</v>
      </c>
      <c r="E761" s="17">
        <v>45</v>
      </c>
      <c r="F761" s="16">
        <v>1312</v>
      </c>
      <c r="G761" s="16">
        <v>2751</v>
      </c>
      <c r="H761" s="16">
        <v>7609</v>
      </c>
      <c r="I761" s="16">
        <v>18478</v>
      </c>
      <c r="J761" s="16">
        <v>10586</v>
      </c>
    </row>
    <row r="762" spans="3:10" x14ac:dyDescent="0.2">
      <c r="C762" s="5" t="s">
        <v>56</v>
      </c>
      <c r="E762" s="17">
        <v>47</v>
      </c>
      <c r="F762" s="16">
        <v>1303</v>
      </c>
      <c r="G762" s="16">
        <v>2818</v>
      </c>
      <c r="H762" s="16">
        <v>6888</v>
      </c>
      <c r="I762" s="16">
        <v>12808</v>
      </c>
      <c r="J762" s="16">
        <v>5699</v>
      </c>
    </row>
    <row r="763" spans="3:10" x14ac:dyDescent="0.2">
      <c r="C763" s="5" t="s">
        <v>55</v>
      </c>
      <c r="E763" s="17">
        <v>47</v>
      </c>
      <c r="F763" s="16">
        <v>1351</v>
      </c>
      <c r="G763" s="16">
        <v>2857</v>
      </c>
      <c r="H763" s="16">
        <v>8171</v>
      </c>
      <c r="I763" s="16">
        <v>13779</v>
      </c>
      <c r="J763" s="16">
        <v>5323</v>
      </c>
    </row>
    <row r="764" spans="3:10" x14ac:dyDescent="0.2">
      <c r="C764" s="5" t="s">
        <v>54</v>
      </c>
      <c r="E764" s="17">
        <v>50</v>
      </c>
      <c r="F764" s="16">
        <v>1757</v>
      </c>
      <c r="G764" s="16">
        <v>4039</v>
      </c>
      <c r="H764" s="16">
        <v>10294</v>
      </c>
      <c r="I764" s="16">
        <v>18908</v>
      </c>
      <c r="J764" s="16">
        <v>8193</v>
      </c>
    </row>
    <row r="765" spans="3:10" x14ac:dyDescent="0.2">
      <c r="E765" s="14"/>
    </row>
    <row r="766" spans="3:10" x14ac:dyDescent="0.2">
      <c r="C766" s="5" t="s">
        <v>53</v>
      </c>
      <c r="E766" s="17">
        <v>55</v>
      </c>
      <c r="F766" s="16">
        <v>2011</v>
      </c>
      <c r="G766" s="16">
        <v>5169</v>
      </c>
      <c r="H766" s="16">
        <v>14523</v>
      </c>
      <c r="I766" s="16">
        <v>24856</v>
      </c>
      <c r="J766" s="16">
        <v>9837</v>
      </c>
    </row>
    <row r="767" spans="3:10" x14ac:dyDescent="0.2">
      <c r="C767" s="5" t="s">
        <v>52</v>
      </c>
      <c r="E767" s="17">
        <v>57</v>
      </c>
      <c r="F767" s="16">
        <v>2503</v>
      </c>
      <c r="G767" s="16">
        <v>7693</v>
      </c>
      <c r="H767" s="16">
        <v>28784</v>
      </c>
      <c r="I767" s="16">
        <v>48702</v>
      </c>
      <c r="J767" s="16">
        <v>18887</v>
      </c>
    </row>
    <row r="768" spans="3:10" x14ac:dyDescent="0.2">
      <c r="C768" s="5" t="s">
        <v>51</v>
      </c>
      <c r="E768" s="17">
        <v>51</v>
      </c>
      <c r="F768" s="16">
        <v>2306</v>
      </c>
      <c r="G768" s="16">
        <v>7689</v>
      </c>
      <c r="H768" s="16">
        <v>26669</v>
      </c>
      <c r="I768" s="16">
        <v>47107</v>
      </c>
      <c r="J768" s="16">
        <v>18031</v>
      </c>
    </row>
    <row r="769" spans="2:10" x14ac:dyDescent="0.2">
      <c r="C769" s="5" t="s">
        <v>50</v>
      </c>
      <c r="E769" s="17">
        <v>47</v>
      </c>
      <c r="F769" s="16">
        <v>2266</v>
      </c>
      <c r="G769" s="16">
        <v>7729</v>
      </c>
      <c r="H769" s="16">
        <v>37092</v>
      </c>
      <c r="I769" s="16">
        <v>54580</v>
      </c>
      <c r="J769" s="16">
        <v>15854</v>
      </c>
    </row>
    <row r="770" spans="2:10" x14ac:dyDescent="0.2">
      <c r="E770" s="14"/>
    </row>
    <row r="771" spans="2:10" x14ac:dyDescent="0.2">
      <c r="C771" s="5" t="s">
        <v>49</v>
      </c>
      <c r="E771" s="17">
        <v>47</v>
      </c>
      <c r="F771" s="16">
        <v>2387</v>
      </c>
      <c r="G771" s="16">
        <v>8882</v>
      </c>
      <c r="H771" s="16">
        <v>42624</v>
      </c>
      <c r="I771" s="16">
        <v>61606</v>
      </c>
      <c r="J771" s="16">
        <v>17185</v>
      </c>
    </row>
    <row r="772" spans="2:10" x14ac:dyDescent="0.2">
      <c r="C772" s="5" t="s">
        <v>48</v>
      </c>
      <c r="E772" s="17">
        <v>41</v>
      </c>
      <c r="F772" s="16">
        <v>2148</v>
      </c>
      <c r="G772" s="16">
        <v>8018</v>
      </c>
      <c r="H772" s="16">
        <v>38274</v>
      </c>
      <c r="I772" s="16">
        <v>59526</v>
      </c>
      <c r="J772" s="16">
        <v>17700</v>
      </c>
    </row>
    <row r="773" spans="2:10" x14ac:dyDescent="0.2">
      <c r="C773" s="5" t="s">
        <v>47</v>
      </c>
      <c r="E773" s="17">
        <v>41</v>
      </c>
      <c r="F773" s="16">
        <v>2226</v>
      </c>
      <c r="G773" s="16">
        <v>8103</v>
      </c>
      <c r="H773" s="16">
        <v>44013</v>
      </c>
      <c r="I773" s="16">
        <v>65055</v>
      </c>
      <c r="J773" s="16">
        <v>18209</v>
      </c>
    </row>
    <row r="774" spans="2:10" x14ac:dyDescent="0.2">
      <c r="C774" s="5" t="s">
        <v>45</v>
      </c>
      <c r="D774" s="2"/>
      <c r="E774" s="17">
        <v>47</v>
      </c>
      <c r="F774" s="16">
        <v>2205</v>
      </c>
      <c r="G774" s="16">
        <v>8615</v>
      </c>
      <c r="H774" s="16">
        <v>43045</v>
      </c>
      <c r="I774" s="16">
        <v>64223</v>
      </c>
      <c r="J774" s="16">
        <v>18025</v>
      </c>
    </row>
    <row r="775" spans="2:10" x14ac:dyDescent="0.2">
      <c r="C775" s="1" t="s">
        <v>44</v>
      </c>
      <c r="D775" s="2"/>
      <c r="E775" s="3">
        <v>47</v>
      </c>
      <c r="F775" s="20">
        <v>2172</v>
      </c>
      <c r="G775" s="20">
        <v>8207</v>
      </c>
      <c r="H775" s="20">
        <v>47272</v>
      </c>
      <c r="I775" s="20">
        <v>72926</v>
      </c>
      <c r="J775" s="20">
        <v>23277</v>
      </c>
    </row>
    <row r="776" spans="2:10" ht="18" thickBot="1" x14ac:dyDescent="0.25">
      <c r="B776" s="9"/>
      <c r="C776" s="9"/>
      <c r="D776" s="9"/>
      <c r="E776" s="19"/>
      <c r="F776" s="9"/>
      <c r="G776" s="9"/>
      <c r="H776" s="9"/>
      <c r="I776" s="9"/>
      <c r="J776" s="9"/>
    </row>
    <row r="777" spans="2:10" x14ac:dyDescent="0.2">
      <c r="E777" s="14"/>
      <c r="F777" s="11"/>
      <c r="G777" s="11"/>
      <c r="H777" s="11"/>
      <c r="I777" s="11"/>
      <c r="J777" s="11"/>
    </row>
    <row r="778" spans="2:10" x14ac:dyDescent="0.2">
      <c r="E778" s="25"/>
      <c r="F778" s="13"/>
      <c r="G778" s="24" t="s">
        <v>83</v>
      </c>
      <c r="H778" s="13"/>
      <c r="I778" s="13"/>
      <c r="J778" s="13"/>
    </row>
    <row r="779" spans="2:10" x14ac:dyDescent="0.2">
      <c r="E779" s="14"/>
      <c r="F779" s="14"/>
      <c r="G779" s="14"/>
      <c r="H779" s="12" t="s">
        <v>76</v>
      </c>
      <c r="I779" s="12" t="s">
        <v>75</v>
      </c>
      <c r="J779" s="12" t="s">
        <v>74</v>
      </c>
    </row>
    <row r="780" spans="2:10" x14ac:dyDescent="0.2">
      <c r="B780" s="13"/>
      <c r="C780" s="13"/>
      <c r="D780" s="13"/>
      <c r="E780" s="15" t="s">
        <v>73</v>
      </c>
      <c r="F780" s="15" t="s">
        <v>72</v>
      </c>
      <c r="G780" s="15" t="s">
        <v>71</v>
      </c>
      <c r="H780" s="23" t="s">
        <v>70</v>
      </c>
      <c r="I780" s="23" t="s">
        <v>69</v>
      </c>
      <c r="J780" s="23" t="s">
        <v>68</v>
      </c>
    </row>
    <row r="781" spans="2:10" x14ac:dyDescent="0.2">
      <c r="E781" s="14"/>
      <c r="F781" s="22" t="s">
        <v>67</v>
      </c>
      <c r="G781" s="22" t="s">
        <v>66</v>
      </c>
      <c r="H781" s="22" t="s">
        <v>66</v>
      </c>
      <c r="I781" s="22" t="s">
        <v>66</v>
      </c>
      <c r="J781" s="22" t="s">
        <v>66</v>
      </c>
    </row>
    <row r="782" spans="2:10" x14ac:dyDescent="0.2">
      <c r="C782" s="5" t="s">
        <v>65</v>
      </c>
      <c r="E782" s="17">
        <v>82</v>
      </c>
      <c r="F782" s="16">
        <v>1058</v>
      </c>
      <c r="G782" s="16">
        <f>2480+0.4</f>
        <v>2480.4</v>
      </c>
      <c r="H782" s="16">
        <f>6035+0.4</f>
        <v>6035.4</v>
      </c>
      <c r="I782" s="16">
        <f>11745+0.4</f>
        <v>11745.4</v>
      </c>
      <c r="J782" s="16">
        <v>5472</v>
      </c>
    </row>
    <row r="783" spans="2:10" x14ac:dyDescent="0.2">
      <c r="C783" s="5" t="s">
        <v>64</v>
      </c>
      <c r="E783" s="17">
        <v>71</v>
      </c>
      <c r="F783" s="16">
        <v>1032</v>
      </c>
      <c r="G783" s="16">
        <v>2533</v>
      </c>
      <c r="H783" s="16">
        <v>8856</v>
      </c>
      <c r="I783" s="16">
        <v>15009</v>
      </c>
      <c r="J783" s="16">
        <v>8047</v>
      </c>
    </row>
    <row r="784" spans="2:10" x14ac:dyDescent="0.2">
      <c r="C784" s="5" t="s">
        <v>63</v>
      </c>
      <c r="E784" s="17">
        <v>49</v>
      </c>
      <c r="F784" s="16">
        <v>1039</v>
      </c>
      <c r="G784" s="16">
        <v>3026</v>
      </c>
      <c r="H784" s="16">
        <v>9969</v>
      </c>
      <c r="I784" s="16">
        <v>23299</v>
      </c>
      <c r="J784" s="16">
        <v>12701</v>
      </c>
    </row>
    <row r="785" spans="3:10" x14ac:dyDescent="0.2">
      <c r="C785" s="5" t="s">
        <v>62</v>
      </c>
      <c r="E785" s="17">
        <v>58</v>
      </c>
      <c r="F785" s="16">
        <v>1126</v>
      </c>
      <c r="G785" s="16">
        <v>3377</v>
      </c>
      <c r="H785" s="16">
        <v>8516</v>
      </c>
      <c r="I785" s="16">
        <v>20802</v>
      </c>
      <c r="J785" s="16">
        <v>10439</v>
      </c>
    </row>
    <row r="786" spans="3:10" x14ac:dyDescent="0.2">
      <c r="E786" s="14"/>
    </row>
    <row r="787" spans="3:10" x14ac:dyDescent="0.2">
      <c r="C787" s="5" t="s">
        <v>61</v>
      </c>
      <c r="E787" s="17">
        <v>55</v>
      </c>
      <c r="F787" s="16">
        <v>1043</v>
      </c>
      <c r="G787" s="16">
        <v>3321</v>
      </c>
      <c r="H787" s="16">
        <v>7644</v>
      </c>
      <c r="I787" s="16">
        <v>16768</v>
      </c>
      <c r="J787" s="16">
        <v>9323</v>
      </c>
    </row>
    <row r="788" spans="3:10" x14ac:dyDescent="0.2">
      <c r="C788" s="5" t="s">
        <v>60</v>
      </c>
      <c r="E788" s="17">
        <v>50</v>
      </c>
      <c r="F788" s="16">
        <v>961</v>
      </c>
      <c r="G788" s="16">
        <v>3068</v>
      </c>
      <c r="H788" s="16">
        <v>5742</v>
      </c>
      <c r="I788" s="16">
        <v>13166</v>
      </c>
      <c r="J788" s="16">
        <v>6695</v>
      </c>
    </row>
    <row r="789" spans="3:10" x14ac:dyDescent="0.2">
      <c r="C789" s="5" t="s">
        <v>59</v>
      </c>
      <c r="E789" s="17">
        <v>44</v>
      </c>
      <c r="F789" s="16">
        <v>847</v>
      </c>
      <c r="G789" s="16">
        <v>3031</v>
      </c>
      <c r="H789" s="16">
        <v>5070</v>
      </c>
      <c r="I789" s="16">
        <v>10689</v>
      </c>
      <c r="J789" s="16">
        <v>5544</v>
      </c>
    </row>
    <row r="790" spans="3:10" x14ac:dyDescent="0.2">
      <c r="C790" s="5" t="s">
        <v>58</v>
      </c>
      <c r="E790" s="17">
        <v>49</v>
      </c>
      <c r="F790" s="16">
        <v>784</v>
      </c>
      <c r="G790" s="16">
        <v>3133</v>
      </c>
      <c r="H790" s="16">
        <v>5185</v>
      </c>
      <c r="I790" s="16">
        <v>11038</v>
      </c>
      <c r="J790" s="16">
        <v>5454</v>
      </c>
    </row>
    <row r="791" spans="3:10" x14ac:dyDescent="0.2">
      <c r="E791" s="14"/>
    </row>
    <row r="792" spans="3:10" x14ac:dyDescent="0.2">
      <c r="C792" s="5" t="s">
        <v>57</v>
      </c>
      <c r="E792" s="17">
        <v>45</v>
      </c>
      <c r="F792" s="16">
        <v>779</v>
      </c>
      <c r="G792" s="16">
        <v>2680</v>
      </c>
      <c r="H792" s="16">
        <v>4403</v>
      </c>
      <c r="I792" s="16">
        <v>9514</v>
      </c>
      <c r="J792" s="16">
        <v>4751</v>
      </c>
    </row>
    <row r="793" spans="3:10" x14ac:dyDescent="0.2">
      <c r="C793" s="5" t="s">
        <v>56</v>
      </c>
      <c r="E793" s="17">
        <v>46</v>
      </c>
      <c r="F793" s="16">
        <v>727</v>
      </c>
      <c r="G793" s="16">
        <v>3565</v>
      </c>
      <c r="H793" s="16">
        <v>4457</v>
      </c>
      <c r="I793" s="16">
        <v>10534</v>
      </c>
      <c r="J793" s="16">
        <v>5870</v>
      </c>
    </row>
    <row r="794" spans="3:10" x14ac:dyDescent="0.2">
      <c r="C794" s="5" t="s">
        <v>55</v>
      </c>
      <c r="E794" s="17">
        <v>41</v>
      </c>
      <c r="F794" s="16">
        <v>707</v>
      </c>
      <c r="G794" s="16">
        <v>2493</v>
      </c>
      <c r="H794" s="16">
        <v>3018</v>
      </c>
      <c r="I794" s="16">
        <v>7820</v>
      </c>
      <c r="J794" s="16">
        <v>4504</v>
      </c>
    </row>
    <row r="795" spans="3:10" x14ac:dyDescent="0.2">
      <c r="C795" s="5" t="s">
        <v>54</v>
      </c>
      <c r="E795" s="17">
        <v>45</v>
      </c>
      <c r="F795" s="16">
        <v>784</v>
      </c>
      <c r="G795" s="16">
        <v>2993</v>
      </c>
      <c r="H795" s="16">
        <v>6457</v>
      </c>
      <c r="I795" s="16">
        <v>12528</v>
      </c>
      <c r="J795" s="16">
        <v>5931</v>
      </c>
    </row>
    <row r="796" spans="3:10" x14ac:dyDescent="0.2">
      <c r="E796" s="14"/>
    </row>
    <row r="797" spans="3:10" x14ac:dyDescent="0.2">
      <c r="C797" s="5" t="s">
        <v>53</v>
      </c>
      <c r="E797" s="17">
        <v>37</v>
      </c>
      <c r="F797" s="16">
        <v>771</v>
      </c>
      <c r="G797" s="16">
        <v>3351</v>
      </c>
      <c r="H797" s="16">
        <v>6899</v>
      </c>
      <c r="I797" s="16">
        <v>14416</v>
      </c>
      <c r="J797" s="16">
        <v>8808</v>
      </c>
    </row>
    <row r="798" spans="3:10" x14ac:dyDescent="0.2">
      <c r="C798" s="5" t="s">
        <v>52</v>
      </c>
      <c r="E798" s="17">
        <v>31</v>
      </c>
      <c r="F798" s="16">
        <v>699</v>
      </c>
      <c r="G798" s="16">
        <v>3047</v>
      </c>
      <c r="H798" s="16">
        <v>10289</v>
      </c>
      <c r="I798" s="16">
        <v>18261</v>
      </c>
      <c r="J798" s="16">
        <v>5604</v>
      </c>
    </row>
    <row r="799" spans="3:10" x14ac:dyDescent="0.2">
      <c r="C799" s="5" t="s">
        <v>51</v>
      </c>
      <c r="E799" s="17">
        <v>38</v>
      </c>
      <c r="F799" s="16">
        <v>607</v>
      </c>
      <c r="G799" s="16">
        <v>2794</v>
      </c>
      <c r="H799" s="16">
        <v>8294</v>
      </c>
      <c r="I799" s="16">
        <v>12746</v>
      </c>
      <c r="J799" s="16">
        <v>6279</v>
      </c>
    </row>
    <row r="800" spans="3:10" x14ac:dyDescent="0.2">
      <c r="C800" s="5" t="s">
        <v>50</v>
      </c>
      <c r="E800" s="17">
        <v>35</v>
      </c>
      <c r="F800" s="16">
        <v>571</v>
      </c>
      <c r="G800" s="16">
        <v>2794</v>
      </c>
      <c r="H800" s="16">
        <v>6925</v>
      </c>
      <c r="I800" s="16">
        <v>10553</v>
      </c>
      <c r="J800" s="16">
        <v>5218</v>
      </c>
    </row>
    <row r="801" spans="1:10" x14ac:dyDescent="0.2">
      <c r="E801" s="14"/>
    </row>
    <row r="802" spans="1:10" x14ac:dyDescent="0.2">
      <c r="C802" s="5" t="s">
        <v>49</v>
      </c>
      <c r="E802" s="17">
        <v>35</v>
      </c>
      <c r="F802" s="16">
        <v>763</v>
      </c>
      <c r="G802" s="16">
        <v>3373</v>
      </c>
      <c r="H802" s="16">
        <v>7818</v>
      </c>
      <c r="I802" s="16">
        <v>12302</v>
      </c>
      <c r="J802" s="16">
        <v>4480</v>
      </c>
    </row>
    <row r="803" spans="1:10" x14ac:dyDescent="0.2">
      <c r="C803" s="5" t="s">
        <v>48</v>
      </c>
      <c r="E803" s="17">
        <v>34</v>
      </c>
      <c r="F803" s="16">
        <v>748</v>
      </c>
      <c r="G803" s="16">
        <v>3682</v>
      </c>
      <c r="H803" s="16">
        <v>6773</v>
      </c>
      <c r="I803" s="16">
        <v>12419</v>
      </c>
      <c r="J803" s="16">
        <v>5097</v>
      </c>
    </row>
    <row r="804" spans="1:10" x14ac:dyDescent="0.2">
      <c r="C804" s="5" t="s">
        <v>47</v>
      </c>
      <c r="E804" s="17">
        <v>34</v>
      </c>
      <c r="F804" s="16">
        <v>743</v>
      </c>
      <c r="G804" s="16">
        <v>3431</v>
      </c>
      <c r="H804" s="16">
        <v>7808</v>
      </c>
      <c r="I804" s="16">
        <v>14732</v>
      </c>
      <c r="J804" s="16">
        <v>6561</v>
      </c>
    </row>
    <row r="805" spans="1:10" x14ac:dyDescent="0.2">
      <c r="C805" s="5" t="s">
        <v>45</v>
      </c>
      <c r="D805" s="2"/>
      <c r="E805" s="17">
        <v>39</v>
      </c>
      <c r="F805" s="16">
        <v>777</v>
      </c>
      <c r="G805" s="16">
        <v>3777</v>
      </c>
      <c r="H805" s="16">
        <v>6489</v>
      </c>
      <c r="I805" s="16">
        <v>12232</v>
      </c>
      <c r="J805" s="16">
        <v>5282</v>
      </c>
    </row>
    <row r="806" spans="1:10" x14ac:dyDescent="0.2">
      <c r="C806" s="1" t="s">
        <v>44</v>
      </c>
      <c r="D806" s="2"/>
      <c r="E806" s="3">
        <v>33</v>
      </c>
      <c r="F806" s="20">
        <v>653</v>
      </c>
      <c r="G806" s="20">
        <v>2454</v>
      </c>
      <c r="H806" s="20">
        <v>4757</v>
      </c>
      <c r="I806" s="20">
        <v>10794</v>
      </c>
      <c r="J806" s="20">
        <v>5462</v>
      </c>
    </row>
    <row r="807" spans="1:10" ht="18" thickBot="1" x14ac:dyDescent="0.25">
      <c r="B807" s="9"/>
      <c r="C807" s="9"/>
      <c r="D807" s="9"/>
      <c r="E807" s="19"/>
      <c r="F807" s="9"/>
      <c r="G807" s="9"/>
      <c r="H807" s="9"/>
      <c r="I807" s="9"/>
      <c r="J807" s="9"/>
    </row>
    <row r="808" spans="1:10" x14ac:dyDescent="0.2">
      <c r="D808" s="5" t="s">
        <v>82</v>
      </c>
      <c r="E808" s="5"/>
      <c r="H808" s="5" t="s">
        <v>42</v>
      </c>
    </row>
    <row r="809" spans="1:10" x14ac:dyDescent="0.2">
      <c r="H809" s="5" t="s">
        <v>41</v>
      </c>
    </row>
    <row r="811" spans="1:10" x14ac:dyDescent="0.2">
      <c r="A811" s="5"/>
    </row>
    <row r="812" spans="1:10" x14ac:dyDescent="0.2">
      <c r="A812" s="5"/>
    </row>
    <row r="817" spans="2:10" x14ac:dyDescent="0.2">
      <c r="C817" s="2"/>
      <c r="D817" s="2"/>
      <c r="E817" s="2"/>
      <c r="F817" s="1" t="s">
        <v>81</v>
      </c>
    </row>
    <row r="818" spans="2:10" x14ac:dyDescent="0.2">
      <c r="F818" s="5" t="s">
        <v>80</v>
      </c>
    </row>
    <row r="819" spans="2:10" ht="18" thickBot="1" x14ac:dyDescent="0.25">
      <c r="B819" s="9"/>
      <c r="C819" s="9"/>
      <c r="D819" s="9"/>
      <c r="E819" s="9"/>
      <c r="F819" s="10" t="s">
        <v>79</v>
      </c>
      <c r="G819" s="9"/>
      <c r="H819" s="9"/>
      <c r="I819" s="9"/>
      <c r="J819" s="9"/>
    </row>
    <row r="820" spans="2:10" x14ac:dyDescent="0.2">
      <c r="E820" s="14"/>
      <c r="F820" s="11"/>
      <c r="G820" s="11"/>
      <c r="H820" s="11"/>
      <c r="I820" s="11"/>
      <c r="J820" s="11"/>
    </row>
    <row r="821" spans="2:10" x14ac:dyDescent="0.2">
      <c r="E821" s="25"/>
      <c r="F821" s="13"/>
      <c r="G821" s="24" t="s">
        <v>78</v>
      </c>
      <c r="H821" s="13"/>
      <c r="I821" s="13"/>
      <c r="J821" s="13"/>
    </row>
    <row r="822" spans="2:10" x14ac:dyDescent="0.2">
      <c r="E822" s="14"/>
      <c r="F822" s="14"/>
      <c r="G822" s="14"/>
      <c r="H822" s="12" t="s">
        <v>76</v>
      </c>
      <c r="I822" s="12" t="s">
        <v>75</v>
      </c>
      <c r="J822" s="12" t="s">
        <v>74</v>
      </c>
    </row>
    <row r="823" spans="2:10" x14ac:dyDescent="0.2">
      <c r="B823" s="13"/>
      <c r="C823" s="13"/>
      <c r="D823" s="13"/>
      <c r="E823" s="15" t="s">
        <v>73</v>
      </c>
      <c r="F823" s="15" t="s">
        <v>72</v>
      </c>
      <c r="G823" s="15" t="s">
        <v>71</v>
      </c>
      <c r="H823" s="23" t="s">
        <v>70</v>
      </c>
      <c r="I823" s="23" t="s">
        <v>69</v>
      </c>
      <c r="J823" s="23" t="s">
        <v>68</v>
      </c>
    </row>
    <row r="824" spans="2:10" x14ac:dyDescent="0.2">
      <c r="E824" s="14"/>
      <c r="F824" s="22" t="s">
        <v>67</v>
      </c>
      <c r="G824" s="22" t="s">
        <v>66</v>
      </c>
      <c r="H824" s="22" t="s">
        <v>66</v>
      </c>
      <c r="I824" s="22" t="s">
        <v>66</v>
      </c>
      <c r="J824" s="22" t="s">
        <v>66</v>
      </c>
    </row>
    <row r="825" spans="2:10" x14ac:dyDescent="0.2">
      <c r="C825" s="5" t="s">
        <v>65</v>
      </c>
      <c r="E825" s="17">
        <v>17</v>
      </c>
      <c r="F825" s="16">
        <v>588</v>
      </c>
      <c r="G825" s="16">
        <f>1344+0.4</f>
        <v>1344.4</v>
      </c>
      <c r="H825" s="16">
        <f>3194+0.4</f>
        <v>3194.4</v>
      </c>
      <c r="I825" s="16">
        <f>6273+0.4</f>
        <v>6273.4</v>
      </c>
      <c r="J825" s="16">
        <v>3066</v>
      </c>
    </row>
    <row r="826" spans="2:10" x14ac:dyDescent="0.2">
      <c r="C826" s="5" t="s">
        <v>64</v>
      </c>
      <c r="E826" s="17">
        <v>17</v>
      </c>
      <c r="F826" s="16">
        <v>615</v>
      </c>
      <c r="G826" s="16">
        <v>1574</v>
      </c>
      <c r="H826" s="16">
        <v>4128</v>
      </c>
      <c r="I826" s="16">
        <v>9697</v>
      </c>
      <c r="J826" s="16">
        <v>5671</v>
      </c>
    </row>
    <row r="827" spans="2:10" x14ac:dyDescent="0.2">
      <c r="C827" s="5" t="s">
        <v>63</v>
      </c>
      <c r="E827" s="17">
        <v>16</v>
      </c>
      <c r="F827" s="16">
        <v>754</v>
      </c>
      <c r="G827" s="16">
        <v>2064</v>
      </c>
      <c r="H827" s="16">
        <v>9538</v>
      </c>
      <c r="I827" s="16">
        <v>19510</v>
      </c>
      <c r="J827" s="16">
        <v>10789</v>
      </c>
    </row>
    <row r="828" spans="2:10" x14ac:dyDescent="0.2">
      <c r="C828" s="5" t="s">
        <v>62</v>
      </c>
      <c r="E828" s="17">
        <v>16</v>
      </c>
      <c r="F828" s="16">
        <v>722</v>
      </c>
      <c r="G828" s="16">
        <v>2195</v>
      </c>
      <c r="H828" s="16">
        <v>10997</v>
      </c>
      <c r="I828" s="16">
        <v>23455</v>
      </c>
      <c r="J828" s="16">
        <v>11996</v>
      </c>
    </row>
    <row r="829" spans="2:10" x14ac:dyDescent="0.2">
      <c r="E829" s="14"/>
    </row>
    <row r="830" spans="2:10" x14ac:dyDescent="0.2">
      <c r="C830" s="5" t="s">
        <v>61</v>
      </c>
      <c r="E830" s="17">
        <v>20</v>
      </c>
      <c r="F830" s="16">
        <v>840</v>
      </c>
      <c r="G830" s="16">
        <v>2347</v>
      </c>
      <c r="H830" s="16">
        <v>12617</v>
      </c>
      <c r="I830" s="16">
        <v>27531</v>
      </c>
      <c r="J830" s="16">
        <v>14238</v>
      </c>
    </row>
    <row r="831" spans="2:10" x14ac:dyDescent="0.2">
      <c r="C831" s="5" t="s">
        <v>60</v>
      </c>
      <c r="E831" s="17">
        <v>17</v>
      </c>
      <c r="F831" s="16">
        <v>917</v>
      </c>
      <c r="G831" s="16">
        <v>2746</v>
      </c>
      <c r="H831" s="16">
        <v>15592</v>
      </c>
      <c r="I831" s="16">
        <v>27127</v>
      </c>
      <c r="J831" s="16">
        <v>11449</v>
      </c>
    </row>
    <row r="832" spans="2:10" x14ac:dyDescent="0.2">
      <c r="C832" s="5" t="s">
        <v>59</v>
      </c>
      <c r="E832" s="17">
        <v>16</v>
      </c>
      <c r="F832" s="16">
        <v>1051</v>
      </c>
      <c r="G832" s="16">
        <v>3387</v>
      </c>
      <c r="H832" s="16">
        <v>21133</v>
      </c>
      <c r="I832" s="16">
        <v>35261</v>
      </c>
      <c r="J832" s="16">
        <v>14817</v>
      </c>
    </row>
    <row r="833" spans="3:10" x14ac:dyDescent="0.2">
      <c r="C833" s="5" t="s">
        <v>58</v>
      </c>
      <c r="E833" s="17">
        <v>18</v>
      </c>
      <c r="F833" s="16">
        <v>1151</v>
      </c>
      <c r="G833" s="16">
        <v>4010</v>
      </c>
      <c r="H833" s="16">
        <v>16497</v>
      </c>
      <c r="I833" s="16">
        <v>32807</v>
      </c>
      <c r="J833" s="16">
        <v>15455</v>
      </c>
    </row>
    <row r="834" spans="3:10" x14ac:dyDescent="0.2">
      <c r="E834" s="14"/>
    </row>
    <row r="835" spans="3:10" x14ac:dyDescent="0.2">
      <c r="C835" s="5" t="s">
        <v>57</v>
      </c>
      <c r="E835" s="17">
        <v>15</v>
      </c>
      <c r="F835" s="16">
        <v>1106</v>
      </c>
      <c r="G835" s="16">
        <v>3905</v>
      </c>
      <c r="H835" s="16">
        <v>15953</v>
      </c>
      <c r="I835" s="16">
        <v>32308</v>
      </c>
      <c r="J835" s="16">
        <v>15063</v>
      </c>
    </row>
    <row r="836" spans="3:10" x14ac:dyDescent="0.2">
      <c r="C836" s="5" t="s">
        <v>56</v>
      </c>
      <c r="E836" s="17">
        <v>20</v>
      </c>
      <c r="F836" s="16">
        <v>1270</v>
      </c>
      <c r="G836" s="16">
        <v>3837</v>
      </c>
      <c r="H836" s="16">
        <v>20439</v>
      </c>
      <c r="I836" s="16">
        <v>35236</v>
      </c>
      <c r="J836" s="16">
        <v>11576</v>
      </c>
    </row>
    <row r="837" spans="3:10" x14ac:dyDescent="0.2">
      <c r="C837" s="5" t="s">
        <v>55</v>
      </c>
      <c r="E837" s="17">
        <v>19</v>
      </c>
      <c r="F837" s="16">
        <v>1404</v>
      </c>
      <c r="G837" s="16">
        <v>4607</v>
      </c>
      <c r="H837" s="16">
        <v>18643</v>
      </c>
      <c r="I837" s="16">
        <v>37381</v>
      </c>
      <c r="J837" s="16">
        <v>18683</v>
      </c>
    </row>
    <row r="838" spans="3:10" x14ac:dyDescent="0.2">
      <c r="C838" s="5" t="s">
        <v>54</v>
      </c>
      <c r="E838" s="17">
        <v>19</v>
      </c>
      <c r="F838" s="16">
        <v>1660</v>
      </c>
      <c r="G838" s="16">
        <v>5901</v>
      </c>
      <c r="H838" s="16">
        <v>19890</v>
      </c>
      <c r="I838" s="16">
        <v>41624</v>
      </c>
      <c r="J838" s="16">
        <v>22596</v>
      </c>
    </row>
    <row r="839" spans="3:10" x14ac:dyDescent="0.2">
      <c r="E839" s="14"/>
    </row>
    <row r="840" spans="3:10" x14ac:dyDescent="0.2">
      <c r="C840" s="5" t="s">
        <v>53</v>
      </c>
      <c r="E840" s="17">
        <v>18</v>
      </c>
      <c r="F840" s="16">
        <v>1363</v>
      </c>
      <c r="G840" s="16">
        <v>5915</v>
      </c>
      <c r="H840" s="16">
        <v>21647</v>
      </c>
      <c r="I840" s="16">
        <v>45690</v>
      </c>
      <c r="J840" s="16">
        <v>23837</v>
      </c>
    </row>
    <row r="841" spans="3:10" x14ac:dyDescent="0.2">
      <c r="C841" s="5" t="s">
        <v>52</v>
      </c>
      <c r="E841" s="17">
        <v>16</v>
      </c>
      <c r="F841" s="16">
        <v>1397</v>
      </c>
      <c r="G841" s="16">
        <v>5931</v>
      </c>
      <c r="H841" s="16">
        <v>21328</v>
      </c>
      <c r="I841" s="16">
        <v>44169</v>
      </c>
      <c r="J841" s="16">
        <v>20772</v>
      </c>
    </row>
    <row r="842" spans="3:10" x14ac:dyDescent="0.2">
      <c r="C842" s="5" t="s">
        <v>51</v>
      </c>
      <c r="E842" s="17">
        <v>16</v>
      </c>
      <c r="F842" s="16">
        <v>1390</v>
      </c>
      <c r="G842" s="16">
        <v>5897</v>
      </c>
      <c r="H842" s="16">
        <v>22411</v>
      </c>
      <c r="I842" s="16">
        <v>46892</v>
      </c>
      <c r="J842" s="16">
        <v>19450</v>
      </c>
    </row>
    <row r="843" spans="3:10" x14ac:dyDescent="0.2">
      <c r="C843" s="5" t="s">
        <v>50</v>
      </c>
      <c r="E843" s="17">
        <v>17</v>
      </c>
      <c r="F843" s="16">
        <v>1387</v>
      </c>
      <c r="G843" s="16">
        <v>6559</v>
      </c>
      <c r="H843" s="16">
        <v>20408</v>
      </c>
      <c r="I843" s="16">
        <v>41664</v>
      </c>
      <c r="J843" s="16">
        <v>18182</v>
      </c>
    </row>
    <row r="844" spans="3:10" x14ac:dyDescent="0.2">
      <c r="E844" s="14"/>
    </row>
    <row r="845" spans="3:10" x14ac:dyDescent="0.2">
      <c r="C845" s="5" t="s">
        <v>49</v>
      </c>
      <c r="E845" s="17">
        <v>16</v>
      </c>
      <c r="F845" s="16">
        <v>1798</v>
      </c>
      <c r="G845" s="16">
        <v>6623</v>
      </c>
      <c r="H845" s="16">
        <v>20876</v>
      </c>
      <c r="I845" s="16">
        <v>44733</v>
      </c>
      <c r="J845" s="16">
        <v>21205</v>
      </c>
    </row>
    <row r="846" spans="3:10" x14ac:dyDescent="0.2">
      <c r="C846" s="5" t="s">
        <v>48</v>
      </c>
      <c r="E846" s="17">
        <v>16</v>
      </c>
      <c r="F846" s="16">
        <v>1795</v>
      </c>
      <c r="G846" s="16">
        <v>7158</v>
      </c>
      <c r="H846" s="16">
        <v>20489</v>
      </c>
      <c r="I846" s="16">
        <v>47075</v>
      </c>
      <c r="J846" s="16">
        <v>23622</v>
      </c>
    </row>
    <row r="847" spans="3:10" x14ac:dyDescent="0.2">
      <c r="C847" s="5" t="s">
        <v>47</v>
      </c>
      <c r="E847" s="17">
        <v>15</v>
      </c>
      <c r="F847" s="16">
        <v>1769</v>
      </c>
      <c r="G847" s="16">
        <v>7778</v>
      </c>
      <c r="H847" s="16">
        <v>26036</v>
      </c>
      <c r="I847" s="16">
        <v>60482</v>
      </c>
      <c r="J847" s="16">
        <v>31554</v>
      </c>
    </row>
    <row r="848" spans="3:10" x14ac:dyDescent="0.2">
      <c r="C848" s="5" t="s">
        <v>45</v>
      </c>
      <c r="D848" s="2"/>
      <c r="E848" s="17">
        <v>19</v>
      </c>
      <c r="F848" s="16">
        <v>1860</v>
      </c>
      <c r="G848" s="16">
        <v>8059</v>
      </c>
      <c r="H848" s="16">
        <v>26626</v>
      </c>
      <c r="I848" s="16">
        <v>62795</v>
      </c>
      <c r="J848" s="16">
        <v>33305</v>
      </c>
    </row>
    <row r="849" spans="2:10" x14ac:dyDescent="0.2">
      <c r="C849" s="1" t="s">
        <v>44</v>
      </c>
      <c r="D849" s="2"/>
      <c r="E849" s="3">
        <v>17</v>
      </c>
      <c r="F849" s="20">
        <v>1877</v>
      </c>
      <c r="G849" s="20">
        <v>8120</v>
      </c>
      <c r="H849" s="20">
        <v>23141</v>
      </c>
      <c r="I849" s="20">
        <v>55978</v>
      </c>
      <c r="J849" s="20">
        <v>28680</v>
      </c>
    </row>
    <row r="850" spans="2:10" ht="18" thickBot="1" x14ac:dyDescent="0.25">
      <c r="B850" s="9"/>
      <c r="C850" s="9"/>
      <c r="D850" s="9"/>
      <c r="E850" s="19"/>
      <c r="F850" s="9"/>
      <c r="G850" s="9"/>
      <c r="H850" s="9"/>
      <c r="I850" s="9"/>
      <c r="J850" s="9"/>
    </row>
    <row r="851" spans="2:10" x14ac:dyDescent="0.2">
      <c r="E851" s="14"/>
      <c r="F851" s="11"/>
      <c r="G851" s="11"/>
      <c r="H851" s="11"/>
      <c r="I851" s="11"/>
      <c r="J851" s="11"/>
    </row>
    <row r="852" spans="2:10" x14ac:dyDescent="0.2">
      <c r="E852" s="23" t="s">
        <v>77</v>
      </c>
      <c r="F852" s="13"/>
      <c r="G852" s="13"/>
      <c r="H852" s="13"/>
      <c r="I852" s="13"/>
      <c r="J852" s="13"/>
    </row>
    <row r="853" spans="2:10" x14ac:dyDescent="0.2">
      <c r="E853" s="14"/>
      <c r="F853" s="14"/>
      <c r="G853" s="14"/>
      <c r="H853" s="12" t="s">
        <v>76</v>
      </c>
      <c r="I853" s="12" t="s">
        <v>75</v>
      </c>
      <c r="J853" s="12" t="s">
        <v>74</v>
      </c>
    </row>
    <row r="854" spans="2:10" x14ac:dyDescent="0.2">
      <c r="B854" s="13"/>
      <c r="C854" s="13"/>
      <c r="D854" s="13"/>
      <c r="E854" s="15" t="s">
        <v>73</v>
      </c>
      <c r="F854" s="15" t="s">
        <v>72</v>
      </c>
      <c r="G854" s="15" t="s">
        <v>71</v>
      </c>
      <c r="H854" s="23" t="s">
        <v>70</v>
      </c>
      <c r="I854" s="23" t="s">
        <v>69</v>
      </c>
      <c r="J854" s="23" t="s">
        <v>68</v>
      </c>
    </row>
    <row r="855" spans="2:10" x14ac:dyDescent="0.2">
      <c r="E855" s="14"/>
      <c r="F855" s="22" t="s">
        <v>67</v>
      </c>
      <c r="G855" s="22" t="s">
        <v>66</v>
      </c>
      <c r="H855" s="22" t="s">
        <v>66</v>
      </c>
      <c r="I855" s="22" t="s">
        <v>66</v>
      </c>
      <c r="J855" s="22" t="s">
        <v>66</v>
      </c>
    </row>
    <row r="856" spans="2:10" x14ac:dyDescent="0.2">
      <c r="C856" s="5" t="s">
        <v>65</v>
      </c>
      <c r="E856" s="17">
        <v>845</v>
      </c>
      <c r="F856" s="16">
        <v>5338</v>
      </c>
      <c r="G856" s="16">
        <f>6940+0.4</f>
        <v>6940.4</v>
      </c>
      <c r="H856" s="16">
        <f>26246+0.4</f>
        <v>26246.400000000001</v>
      </c>
      <c r="I856" s="16">
        <f>43285+0.4</f>
        <v>43285.4</v>
      </c>
      <c r="J856" s="16">
        <v>16382</v>
      </c>
    </row>
    <row r="857" spans="2:10" x14ac:dyDescent="0.2">
      <c r="C857" s="5" t="s">
        <v>64</v>
      </c>
      <c r="E857" s="17">
        <v>819</v>
      </c>
      <c r="F857" s="16">
        <v>5223</v>
      </c>
      <c r="G857" s="16">
        <v>7524</v>
      </c>
      <c r="H857" s="16">
        <v>27929</v>
      </c>
      <c r="I857" s="16">
        <v>48384</v>
      </c>
      <c r="J857" s="16">
        <v>19878</v>
      </c>
    </row>
    <row r="858" spans="2:10" x14ac:dyDescent="0.2">
      <c r="C858" s="5" t="s">
        <v>63</v>
      </c>
      <c r="E858" s="17">
        <v>390</v>
      </c>
      <c r="F858" s="16">
        <v>4775</v>
      </c>
      <c r="G858" s="16">
        <v>8756</v>
      </c>
      <c r="H858" s="16">
        <v>30425</v>
      </c>
      <c r="I858" s="16">
        <v>52620</v>
      </c>
      <c r="J858" s="16">
        <v>21378</v>
      </c>
    </row>
    <row r="859" spans="2:10" x14ac:dyDescent="0.2">
      <c r="C859" s="5" t="s">
        <v>62</v>
      </c>
      <c r="E859" s="17">
        <v>400</v>
      </c>
      <c r="F859" s="16">
        <v>4729</v>
      </c>
      <c r="G859" s="16">
        <v>8577</v>
      </c>
      <c r="H859" s="16">
        <v>28874</v>
      </c>
      <c r="I859" s="16">
        <v>48629</v>
      </c>
      <c r="J859" s="16">
        <v>18962</v>
      </c>
    </row>
    <row r="860" spans="2:10" x14ac:dyDescent="0.2">
      <c r="E860" s="14"/>
    </row>
    <row r="861" spans="2:10" x14ac:dyDescent="0.2">
      <c r="C861" s="5" t="s">
        <v>61</v>
      </c>
      <c r="E861" s="17">
        <v>390</v>
      </c>
      <c r="F861" s="16">
        <v>4717</v>
      </c>
      <c r="G861" s="16">
        <v>8860</v>
      </c>
      <c r="H861" s="16">
        <v>31968</v>
      </c>
      <c r="I861" s="16">
        <v>53761</v>
      </c>
      <c r="J861" s="16">
        <v>20922</v>
      </c>
    </row>
    <row r="862" spans="2:10" x14ac:dyDescent="0.2">
      <c r="C862" s="5" t="s">
        <v>60</v>
      </c>
      <c r="E862" s="17">
        <v>372</v>
      </c>
      <c r="F862" s="16">
        <v>4582</v>
      </c>
      <c r="G862" s="16">
        <v>9261</v>
      </c>
      <c r="H862" s="16">
        <v>33198</v>
      </c>
      <c r="I862" s="16">
        <v>56633</v>
      </c>
      <c r="J862" s="16">
        <v>22844</v>
      </c>
    </row>
    <row r="863" spans="2:10" x14ac:dyDescent="0.2">
      <c r="C863" s="5" t="s">
        <v>59</v>
      </c>
      <c r="E863" s="17">
        <v>241</v>
      </c>
      <c r="F863" s="16">
        <v>2826</v>
      </c>
      <c r="G863" s="16">
        <v>5678</v>
      </c>
      <c r="H863" s="16">
        <v>16923</v>
      </c>
      <c r="I863" s="16">
        <v>29249</v>
      </c>
      <c r="J863" s="16">
        <v>11773</v>
      </c>
    </row>
    <row r="864" spans="2:10" x14ac:dyDescent="0.2">
      <c r="C864" s="5" t="s">
        <v>58</v>
      </c>
      <c r="E864" s="17">
        <v>230</v>
      </c>
      <c r="F864" s="16">
        <v>2812</v>
      </c>
      <c r="G864" s="16">
        <v>5603</v>
      </c>
      <c r="H864" s="16">
        <v>16287</v>
      </c>
      <c r="I864" s="16">
        <v>28876</v>
      </c>
      <c r="J864" s="16">
        <v>12679</v>
      </c>
    </row>
    <row r="865" spans="3:10" x14ac:dyDescent="0.2">
      <c r="E865" s="14"/>
    </row>
    <row r="866" spans="3:10" x14ac:dyDescent="0.2">
      <c r="C866" s="5" t="s">
        <v>57</v>
      </c>
      <c r="E866" s="17">
        <v>215</v>
      </c>
      <c r="F866" s="16">
        <v>2835</v>
      </c>
      <c r="G866" s="16">
        <v>6149</v>
      </c>
      <c r="H866" s="16">
        <v>14826</v>
      </c>
      <c r="I866" s="16">
        <v>27198</v>
      </c>
      <c r="J866" s="16">
        <v>11482</v>
      </c>
    </row>
    <row r="867" spans="3:10" x14ac:dyDescent="0.2">
      <c r="C867" s="5" t="s">
        <v>56</v>
      </c>
      <c r="E867" s="17">
        <v>229</v>
      </c>
      <c r="F867" s="16">
        <v>3106</v>
      </c>
      <c r="G867" s="16">
        <v>6291</v>
      </c>
      <c r="H867" s="16">
        <v>14240</v>
      </c>
      <c r="I867" s="16">
        <v>27877</v>
      </c>
      <c r="J867" s="16">
        <v>13316</v>
      </c>
    </row>
    <row r="868" spans="3:10" x14ac:dyDescent="0.2">
      <c r="C868" s="5" t="s">
        <v>55</v>
      </c>
      <c r="E868" s="17">
        <v>223</v>
      </c>
      <c r="F868" s="16">
        <v>3051</v>
      </c>
      <c r="G868" s="16">
        <v>6629</v>
      </c>
      <c r="H868" s="16">
        <v>14456</v>
      </c>
      <c r="I868" s="16">
        <v>30020</v>
      </c>
      <c r="J868" s="16">
        <v>14799</v>
      </c>
    </row>
    <row r="869" spans="3:10" x14ac:dyDescent="0.2">
      <c r="C869" s="5" t="s">
        <v>54</v>
      </c>
      <c r="E869" s="17">
        <v>236</v>
      </c>
      <c r="F869" s="16">
        <v>3020</v>
      </c>
      <c r="G869" s="16">
        <v>6740</v>
      </c>
      <c r="H869" s="16">
        <v>15116</v>
      </c>
      <c r="I869" s="16">
        <v>32008</v>
      </c>
      <c r="J869" s="16">
        <v>15905</v>
      </c>
    </row>
    <row r="870" spans="3:10" x14ac:dyDescent="0.2">
      <c r="E870" s="14"/>
    </row>
    <row r="871" spans="3:10" x14ac:dyDescent="0.2">
      <c r="C871" s="5" t="s">
        <v>53</v>
      </c>
      <c r="E871" s="17">
        <v>212</v>
      </c>
      <c r="F871" s="16">
        <v>2894</v>
      </c>
      <c r="G871" s="16">
        <v>6973</v>
      </c>
      <c r="H871" s="16">
        <v>15296</v>
      </c>
      <c r="I871" s="16">
        <v>31484</v>
      </c>
      <c r="J871" s="16">
        <v>15476</v>
      </c>
    </row>
    <row r="872" spans="3:10" x14ac:dyDescent="0.2">
      <c r="C872" s="5" t="s">
        <v>52</v>
      </c>
      <c r="E872" s="17">
        <v>201</v>
      </c>
      <c r="F872" s="16">
        <v>2692</v>
      </c>
      <c r="G872" s="16">
        <v>7044</v>
      </c>
      <c r="H872" s="16">
        <v>15948</v>
      </c>
      <c r="I872" s="16">
        <v>31766</v>
      </c>
      <c r="J872" s="16">
        <v>15032</v>
      </c>
    </row>
    <row r="873" spans="3:10" x14ac:dyDescent="0.2">
      <c r="C873" s="5" t="s">
        <v>51</v>
      </c>
      <c r="E873" s="17">
        <v>208</v>
      </c>
      <c r="F873" s="16">
        <v>2705</v>
      </c>
      <c r="G873" s="16">
        <v>7253</v>
      </c>
      <c r="H873" s="16">
        <v>15023</v>
      </c>
      <c r="I873" s="16">
        <v>30876</v>
      </c>
      <c r="J873" s="16">
        <v>14543</v>
      </c>
    </row>
    <row r="874" spans="3:10" x14ac:dyDescent="0.2">
      <c r="C874" s="5" t="s">
        <v>50</v>
      </c>
      <c r="E874" s="17">
        <v>195</v>
      </c>
      <c r="F874" s="16">
        <v>2565</v>
      </c>
      <c r="G874" s="16">
        <v>7019</v>
      </c>
      <c r="H874" s="16">
        <v>14957</v>
      </c>
      <c r="I874" s="16">
        <v>30429</v>
      </c>
      <c r="J874" s="16">
        <v>14252</v>
      </c>
    </row>
    <row r="875" spans="3:10" x14ac:dyDescent="0.2">
      <c r="E875" s="14"/>
    </row>
    <row r="876" spans="3:10" x14ac:dyDescent="0.2">
      <c r="C876" s="5" t="s">
        <v>49</v>
      </c>
      <c r="E876" s="17">
        <v>193</v>
      </c>
      <c r="F876" s="16">
        <v>2346</v>
      </c>
      <c r="G876" s="16">
        <v>6650</v>
      </c>
      <c r="H876" s="16">
        <v>12705</v>
      </c>
      <c r="I876" s="16">
        <v>27355</v>
      </c>
      <c r="J876" s="16">
        <v>13597</v>
      </c>
    </row>
    <row r="877" spans="3:10" x14ac:dyDescent="0.2">
      <c r="C877" s="5" t="s">
        <v>48</v>
      </c>
      <c r="E877" s="17">
        <v>182</v>
      </c>
      <c r="F877" s="16">
        <v>2549</v>
      </c>
      <c r="G877" s="16">
        <v>7899</v>
      </c>
      <c r="H877" s="16">
        <v>16831</v>
      </c>
      <c r="I877" s="16">
        <v>37005</v>
      </c>
      <c r="J877" s="16">
        <v>18675</v>
      </c>
    </row>
    <row r="878" spans="3:10" x14ac:dyDescent="0.2">
      <c r="C878" s="5" t="s">
        <v>47</v>
      </c>
      <c r="E878" s="17">
        <v>177</v>
      </c>
      <c r="F878" s="21" t="s">
        <v>46</v>
      </c>
      <c r="G878" s="21" t="s">
        <v>46</v>
      </c>
      <c r="H878" s="21" t="s">
        <v>46</v>
      </c>
      <c r="I878" s="21" t="s">
        <v>46</v>
      </c>
      <c r="J878" s="21" t="s">
        <v>46</v>
      </c>
    </row>
    <row r="879" spans="3:10" x14ac:dyDescent="0.2">
      <c r="C879" s="5" t="s">
        <v>45</v>
      </c>
      <c r="D879" s="2"/>
      <c r="E879" s="17">
        <v>189</v>
      </c>
      <c r="F879" s="21">
        <v>2322</v>
      </c>
      <c r="G879" s="21">
        <v>6997</v>
      </c>
      <c r="H879" s="21">
        <v>14115</v>
      </c>
      <c r="I879" s="21">
        <v>28784</v>
      </c>
      <c r="J879" s="21">
        <v>13197</v>
      </c>
    </row>
    <row r="880" spans="3:10" x14ac:dyDescent="0.2">
      <c r="C880" s="1" t="s">
        <v>44</v>
      </c>
      <c r="D880" s="2"/>
      <c r="E880" s="3">
        <v>156</v>
      </c>
      <c r="F880" s="20">
        <v>2164</v>
      </c>
      <c r="G880" s="20">
        <v>6587</v>
      </c>
      <c r="H880" s="20">
        <v>13261</v>
      </c>
      <c r="I880" s="20">
        <v>27027</v>
      </c>
      <c r="J880" s="20">
        <v>12093</v>
      </c>
    </row>
    <row r="881" spans="1:10" ht="18" thickBot="1" x14ac:dyDescent="0.25">
      <c r="B881" s="9"/>
      <c r="C881" s="9"/>
      <c r="D881" s="9"/>
      <c r="E881" s="19"/>
      <c r="F881" s="9"/>
      <c r="G881" s="9"/>
      <c r="H881" s="9"/>
      <c r="I881" s="9"/>
      <c r="J881" s="9"/>
    </row>
    <row r="882" spans="1:10" x14ac:dyDescent="0.2">
      <c r="D882" s="5" t="s">
        <v>43</v>
      </c>
      <c r="E882" s="5"/>
      <c r="H882" s="5" t="s">
        <v>42</v>
      </c>
    </row>
    <row r="883" spans="1:10" x14ac:dyDescent="0.2">
      <c r="H883" s="5" t="s">
        <v>41</v>
      </c>
    </row>
    <row r="885" spans="1:10" x14ac:dyDescent="0.2">
      <c r="A885" s="5"/>
    </row>
  </sheetData>
  <phoneticPr fontId="5"/>
  <pageMargins left="0.4" right="0.56999999999999995" top="0.56999999999999995" bottom="0.53" header="0.51200000000000001" footer="0.51200000000000001"/>
  <pageSetup paperSize="12" scale="75" orientation="portrait" verticalDpi="0" r:id="rId1"/>
  <headerFooter alignWithMargins="0"/>
  <rowBreaks count="11" manualBreakCount="11">
    <brk id="73" max="9" man="1"/>
    <brk id="146" max="9" man="1"/>
    <brk id="220" max="9" man="1"/>
    <brk id="294" max="9" man="1"/>
    <brk id="368" max="9" man="1"/>
    <brk id="442" max="9" man="1"/>
    <brk id="515" max="9" man="1"/>
    <brk id="589" max="9" man="1"/>
    <brk id="663" max="9" man="1"/>
    <brk id="737" max="9" man="1"/>
    <brk id="81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workbookViewId="0">
      <selection activeCell="D72" sqref="D72"/>
    </sheetView>
  </sheetViews>
  <sheetFormatPr defaultColWidth="12.69921875" defaultRowHeight="17.25" x14ac:dyDescent="0.2"/>
  <cols>
    <col min="1" max="1" width="10.69921875" style="8" customWidth="1"/>
    <col min="2" max="2" width="3.69921875" style="8" customWidth="1"/>
    <col min="3" max="16384" width="12.69921875" style="8"/>
  </cols>
  <sheetData>
    <row r="1" spans="1:10" x14ac:dyDescent="0.2">
      <c r="A1" s="5"/>
    </row>
    <row r="3" spans="1:10" x14ac:dyDescent="0.2">
      <c r="D3" s="16"/>
    </row>
    <row r="6" spans="1:10" x14ac:dyDescent="0.2">
      <c r="D6" s="1" t="s">
        <v>210</v>
      </c>
      <c r="G6" s="5" t="s">
        <v>209</v>
      </c>
    </row>
    <row r="7" spans="1:10" ht="18" thickBot="1" x14ac:dyDescent="0.25">
      <c r="B7" s="9"/>
      <c r="C7" s="9"/>
      <c r="D7" s="9"/>
      <c r="E7" s="10" t="s">
        <v>208</v>
      </c>
      <c r="F7" s="9"/>
      <c r="G7" s="9"/>
      <c r="H7" s="9"/>
      <c r="I7" s="9"/>
      <c r="J7" s="9"/>
    </row>
    <row r="8" spans="1:10" x14ac:dyDescent="0.2">
      <c r="D8" s="14"/>
      <c r="E8" s="14"/>
      <c r="F8" s="14"/>
      <c r="G8" s="14"/>
      <c r="H8" s="14"/>
      <c r="I8" s="14"/>
      <c r="J8" s="12" t="s">
        <v>136</v>
      </c>
    </row>
    <row r="9" spans="1:10" x14ac:dyDescent="0.2">
      <c r="D9" s="42" t="s">
        <v>11</v>
      </c>
      <c r="E9" s="42" t="s">
        <v>207</v>
      </c>
      <c r="F9" s="42" t="s">
        <v>71</v>
      </c>
      <c r="G9" s="42" t="s">
        <v>206</v>
      </c>
      <c r="H9" s="42" t="s">
        <v>205</v>
      </c>
      <c r="I9" s="42" t="s">
        <v>204</v>
      </c>
      <c r="J9" s="42" t="s">
        <v>203</v>
      </c>
    </row>
    <row r="10" spans="1:10" x14ac:dyDescent="0.2">
      <c r="B10" s="13"/>
      <c r="C10" s="13"/>
      <c r="D10" s="25"/>
      <c r="E10" s="25"/>
      <c r="F10" s="25"/>
      <c r="G10" s="15" t="s">
        <v>70</v>
      </c>
      <c r="H10" s="15" t="s">
        <v>202</v>
      </c>
      <c r="I10" s="25"/>
      <c r="J10" s="15" t="s">
        <v>201</v>
      </c>
    </row>
    <row r="11" spans="1:10" x14ac:dyDescent="0.2">
      <c r="D11" s="14"/>
      <c r="E11" s="22" t="s">
        <v>67</v>
      </c>
      <c r="F11" s="22" t="s">
        <v>135</v>
      </c>
      <c r="G11" s="22" t="s">
        <v>135</v>
      </c>
      <c r="H11" s="22" t="s">
        <v>135</v>
      </c>
      <c r="I11" s="22" t="s">
        <v>135</v>
      </c>
      <c r="J11" s="22" t="s">
        <v>135</v>
      </c>
    </row>
    <row r="12" spans="1:10" x14ac:dyDescent="0.2">
      <c r="B12" s="1" t="s">
        <v>200</v>
      </c>
      <c r="D12" s="35">
        <f>SUM(D14:D70)</f>
        <v>3128</v>
      </c>
      <c r="E12" s="2">
        <f>SUM(E14:E70)</f>
        <v>61538</v>
      </c>
      <c r="F12" s="2">
        <f>SUM(F14:F70)</f>
        <v>255517.90999999986</v>
      </c>
      <c r="G12" s="2">
        <f>SUM(G14:G70)</f>
        <v>1062245.8800000001</v>
      </c>
      <c r="H12" s="2">
        <f>SUM(H14:H70)</f>
        <v>2159182.08</v>
      </c>
      <c r="I12" s="2">
        <f>SUM(I14:I70)</f>
        <v>882037.62</v>
      </c>
      <c r="J12" s="2">
        <f>SUM(J14:J70)+995</f>
        <v>871293.32</v>
      </c>
    </row>
    <row r="13" spans="1:10" x14ac:dyDescent="0.2">
      <c r="D13" s="14"/>
      <c r="F13" s="2"/>
      <c r="G13" s="2"/>
      <c r="H13" s="2"/>
      <c r="I13" s="2"/>
      <c r="J13" s="2"/>
    </row>
    <row r="14" spans="1:10" x14ac:dyDescent="0.2">
      <c r="A14" s="16"/>
      <c r="C14" s="5" t="s">
        <v>199</v>
      </c>
      <c r="D14" s="17">
        <v>1138</v>
      </c>
      <c r="E14" s="16">
        <v>26957</v>
      </c>
      <c r="F14" s="16">
        <v>130101.24</v>
      </c>
      <c r="G14" s="16">
        <v>405599.09</v>
      </c>
      <c r="H14" s="16">
        <v>920753.54</v>
      </c>
      <c r="I14" s="16">
        <v>498379.54</v>
      </c>
      <c r="J14" s="16">
        <v>509475.51</v>
      </c>
    </row>
    <row r="15" spans="1:10" x14ac:dyDescent="0.2">
      <c r="A15" s="16"/>
      <c r="C15" s="5" t="s">
        <v>198</v>
      </c>
      <c r="D15" s="17">
        <v>243</v>
      </c>
      <c r="E15" s="16">
        <v>4284</v>
      </c>
      <c r="F15" s="16">
        <v>18669.39</v>
      </c>
      <c r="G15" s="16">
        <v>91448.01</v>
      </c>
      <c r="H15" s="16">
        <v>154857.09</v>
      </c>
      <c r="I15" s="16">
        <v>60345.24</v>
      </c>
      <c r="J15" s="16">
        <v>88166.12</v>
      </c>
    </row>
    <row r="16" spans="1:10" x14ac:dyDescent="0.2">
      <c r="A16" s="16"/>
      <c r="C16" s="5" t="s">
        <v>197</v>
      </c>
      <c r="D16" s="17">
        <v>99</v>
      </c>
      <c r="E16" s="16">
        <v>1649</v>
      </c>
      <c r="F16" s="16">
        <v>6370.21</v>
      </c>
      <c r="G16" s="16">
        <v>23019.24</v>
      </c>
      <c r="H16" s="16">
        <v>124717.61</v>
      </c>
      <c r="I16" s="16">
        <v>39271.64</v>
      </c>
      <c r="J16" s="16">
        <v>6801.6</v>
      </c>
    </row>
    <row r="17" spans="1:10" x14ac:dyDescent="0.2">
      <c r="A17" s="16"/>
      <c r="C17" s="5" t="s">
        <v>196</v>
      </c>
      <c r="D17" s="17">
        <v>96</v>
      </c>
      <c r="E17" s="16">
        <v>2324</v>
      </c>
      <c r="F17" s="16">
        <v>12206.96</v>
      </c>
      <c r="G17" s="16">
        <v>259624.03</v>
      </c>
      <c r="H17" s="16">
        <v>425269.99</v>
      </c>
      <c r="I17" s="16">
        <v>41220.36</v>
      </c>
      <c r="J17" s="16">
        <v>38762.65</v>
      </c>
    </row>
    <row r="18" spans="1:10" x14ac:dyDescent="0.2">
      <c r="A18" s="16"/>
      <c r="C18" s="5" t="s">
        <v>195</v>
      </c>
      <c r="D18" s="17">
        <v>94</v>
      </c>
      <c r="E18" s="16">
        <v>1509</v>
      </c>
      <c r="F18" s="16">
        <v>5063.7299999999996</v>
      </c>
      <c r="G18" s="16">
        <v>16459.98</v>
      </c>
      <c r="H18" s="16">
        <v>27669.439999999999</v>
      </c>
      <c r="I18" s="16">
        <v>10701.24</v>
      </c>
      <c r="J18" s="16">
        <v>13103.72</v>
      </c>
    </row>
    <row r="19" spans="1:10" x14ac:dyDescent="0.2">
      <c r="A19" s="16"/>
      <c r="C19" s="5" t="s">
        <v>194</v>
      </c>
      <c r="D19" s="17">
        <v>186</v>
      </c>
      <c r="E19" s="16">
        <v>2755</v>
      </c>
      <c r="F19" s="16">
        <v>8547.07</v>
      </c>
      <c r="G19" s="16">
        <v>25918.76</v>
      </c>
      <c r="H19" s="16">
        <v>45436.97</v>
      </c>
      <c r="I19" s="16">
        <v>18735.05</v>
      </c>
      <c r="J19" s="16">
        <v>15015.39</v>
      </c>
    </row>
    <row r="20" spans="1:10" x14ac:dyDescent="0.2">
      <c r="A20" s="16"/>
      <c r="C20" s="5" t="s">
        <v>193</v>
      </c>
      <c r="D20" s="17">
        <v>67</v>
      </c>
      <c r="E20" s="16">
        <v>924</v>
      </c>
      <c r="F20" s="16">
        <v>3263.71</v>
      </c>
      <c r="G20" s="16">
        <v>7659.63</v>
      </c>
      <c r="H20" s="16">
        <v>14656.12</v>
      </c>
      <c r="I20" s="16">
        <v>6748.82</v>
      </c>
      <c r="J20" s="16">
        <v>3603.78</v>
      </c>
    </row>
    <row r="21" spans="1:10" x14ac:dyDescent="0.2">
      <c r="A21" s="16"/>
      <c r="D21" s="17"/>
      <c r="E21" s="16"/>
      <c r="F21" s="16"/>
      <c r="G21" s="16"/>
      <c r="H21" s="16"/>
      <c r="I21" s="16"/>
      <c r="J21" s="16"/>
    </row>
    <row r="22" spans="1:10" x14ac:dyDescent="0.2">
      <c r="A22" s="16"/>
      <c r="C22" s="5" t="s">
        <v>192</v>
      </c>
      <c r="D22" s="17">
        <v>30</v>
      </c>
      <c r="E22" s="16">
        <v>557</v>
      </c>
      <c r="F22" s="16">
        <v>3098.04</v>
      </c>
      <c r="G22" s="16">
        <v>12935.11</v>
      </c>
      <c r="H22" s="16">
        <v>40302.6</v>
      </c>
      <c r="I22" s="16">
        <v>27101.39</v>
      </c>
      <c r="J22" s="16">
        <v>11800.15</v>
      </c>
    </row>
    <row r="23" spans="1:10" x14ac:dyDescent="0.2">
      <c r="A23" s="16"/>
      <c r="C23" s="5" t="s">
        <v>191</v>
      </c>
      <c r="D23" s="17">
        <v>58</v>
      </c>
      <c r="E23" s="16">
        <v>816</v>
      </c>
      <c r="F23" s="16">
        <v>2420.44</v>
      </c>
      <c r="G23" s="16">
        <v>3348.12</v>
      </c>
      <c r="H23" s="16">
        <v>10488.99</v>
      </c>
      <c r="I23" s="16">
        <v>6896.87</v>
      </c>
      <c r="J23" s="16">
        <v>6643.93</v>
      </c>
    </row>
    <row r="24" spans="1:10" x14ac:dyDescent="0.2">
      <c r="A24" s="16"/>
      <c r="C24" s="5" t="s">
        <v>190</v>
      </c>
      <c r="D24" s="17">
        <v>19</v>
      </c>
      <c r="E24" s="16">
        <v>191</v>
      </c>
      <c r="F24" s="16">
        <v>540.30999999999995</v>
      </c>
      <c r="G24" s="16">
        <v>1405.27</v>
      </c>
      <c r="H24" s="16">
        <v>2695</v>
      </c>
      <c r="I24" s="16">
        <v>1214.8499999999999</v>
      </c>
      <c r="J24" s="16">
        <v>417.63</v>
      </c>
    </row>
    <row r="25" spans="1:10" x14ac:dyDescent="0.2">
      <c r="D25" s="14"/>
      <c r="F25" s="16"/>
      <c r="G25" s="16"/>
      <c r="H25" s="16"/>
      <c r="I25" s="16"/>
      <c r="J25" s="16"/>
    </row>
    <row r="26" spans="1:10" x14ac:dyDescent="0.2">
      <c r="A26" s="16"/>
      <c r="C26" s="5" t="s">
        <v>189</v>
      </c>
      <c r="D26" s="17">
        <v>46</v>
      </c>
      <c r="E26" s="16">
        <v>1044</v>
      </c>
      <c r="F26" s="16">
        <v>4748.37</v>
      </c>
      <c r="G26" s="16">
        <v>25864.19</v>
      </c>
      <c r="H26" s="16">
        <v>48628.73</v>
      </c>
      <c r="I26" s="16">
        <v>21770.41</v>
      </c>
      <c r="J26" s="16">
        <v>26624.48</v>
      </c>
    </row>
    <row r="27" spans="1:10" x14ac:dyDescent="0.2">
      <c r="A27" s="16"/>
      <c r="C27" s="5" t="s">
        <v>188</v>
      </c>
      <c r="D27" s="17">
        <v>33</v>
      </c>
      <c r="E27" s="16">
        <v>786</v>
      </c>
      <c r="F27" s="16">
        <v>2987.73</v>
      </c>
      <c r="G27" s="16">
        <v>12627.81</v>
      </c>
      <c r="H27" s="16">
        <v>20844.88</v>
      </c>
      <c r="I27" s="16">
        <v>7920.89</v>
      </c>
      <c r="J27" s="16">
        <v>9675.06</v>
      </c>
    </row>
    <row r="28" spans="1:10" x14ac:dyDescent="0.2">
      <c r="A28" s="16"/>
      <c r="C28" s="5" t="s">
        <v>187</v>
      </c>
      <c r="D28" s="17">
        <v>24</v>
      </c>
      <c r="E28" s="16">
        <v>420</v>
      </c>
      <c r="F28" s="16">
        <v>1463.8</v>
      </c>
      <c r="G28" s="16">
        <v>5349.83</v>
      </c>
      <c r="H28" s="16">
        <v>8412.7800000000007</v>
      </c>
      <c r="I28" s="16">
        <v>3208.72</v>
      </c>
      <c r="J28" s="16">
        <v>2814.11</v>
      </c>
    </row>
    <row r="29" spans="1:10" x14ac:dyDescent="0.2">
      <c r="A29" s="16"/>
      <c r="C29" s="5" t="s">
        <v>186</v>
      </c>
      <c r="D29" s="17">
        <v>34</v>
      </c>
      <c r="E29" s="16">
        <v>921</v>
      </c>
      <c r="F29" s="16">
        <v>3657.81</v>
      </c>
      <c r="G29" s="16">
        <v>14802.91</v>
      </c>
      <c r="H29" s="16">
        <v>27806.86</v>
      </c>
      <c r="I29" s="16">
        <v>12561.3</v>
      </c>
      <c r="J29" s="16">
        <v>23043.95</v>
      </c>
    </row>
    <row r="30" spans="1:10" x14ac:dyDescent="0.2">
      <c r="A30" s="16"/>
      <c r="C30" s="5" t="s">
        <v>185</v>
      </c>
      <c r="D30" s="17">
        <v>50</v>
      </c>
      <c r="E30" s="16">
        <v>950</v>
      </c>
      <c r="F30" s="16">
        <v>3461.11</v>
      </c>
      <c r="G30" s="16">
        <v>8464.19</v>
      </c>
      <c r="H30" s="16">
        <v>15604.76</v>
      </c>
      <c r="I30" s="16">
        <v>6901.08</v>
      </c>
      <c r="J30" s="16">
        <v>5273.39</v>
      </c>
    </row>
    <row r="31" spans="1:10" x14ac:dyDescent="0.2">
      <c r="A31" s="16"/>
      <c r="C31" s="5" t="s">
        <v>184</v>
      </c>
      <c r="D31" s="17">
        <v>51</v>
      </c>
      <c r="E31" s="16">
        <v>975</v>
      </c>
      <c r="F31" s="16">
        <v>3260.68</v>
      </c>
      <c r="G31" s="16">
        <v>6066.81</v>
      </c>
      <c r="H31" s="16">
        <v>13727.87</v>
      </c>
      <c r="I31" s="16">
        <v>7399.62</v>
      </c>
      <c r="J31" s="16">
        <v>10374.51</v>
      </c>
    </row>
    <row r="32" spans="1:10" x14ac:dyDescent="0.2">
      <c r="D32" s="14"/>
      <c r="F32" s="16"/>
      <c r="G32" s="16"/>
      <c r="H32" s="16"/>
      <c r="I32" s="16"/>
      <c r="J32" s="16"/>
    </row>
    <row r="33" spans="1:10" x14ac:dyDescent="0.2">
      <c r="A33" s="16"/>
      <c r="C33" s="5" t="s">
        <v>183</v>
      </c>
      <c r="D33" s="17">
        <v>83</v>
      </c>
      <c r="E33" s="16">
        <v>1468</v>
      </c>
      <c r="F33" s="16">
        <v>4613.4399999999996</v>
      </c>
      <c r="G33" s="16">
        <v>13428.65</v>
      </c>
      <c r="H33" s="16">
        <v>24824.67</v>
      </c>
      <c r="I33" s="16">
        <v>10965.51</v>
      </c>
      <c r="J33" s="16">
        <v>12754.63</v>
      </c>
    </row>
    <row r="34" spans="1:10" x14ac:dyDescent="0.2">
      <c r="A34" s="16"/>
      <c r="C34" s="5" t="s">
        <v>182</v>
      </c>
      <c r="D34" s="17">
        <v>135</v>
      </c>
      <c r="E34" s="16">
        <v>1473</v>
      </c>
      <c r="F34" s="16">
        <v>4501.7700000000004</v>
      </c>
      <c r="G34" s="16">
        <v>11888.53</v>
      </c>
      <c r="H34" s="16">
        <v>22659.27</v>
      </c>
      <c r="I34" s="16">
        <v>10448.65</v>
      </c>
      <c r="J34" s="16">
        <v>9051.1200000000008</v>
      </c>
    </row>
    <row r="35" spans="1:10" x14ac:dyDescent="0.2">
      <c r="A35" s="16"/>
      <c r="C35" s="5" t="s">
        <v>181</v>
      </c>
      <c r="D35" s="17">
        <v>16</v>
      </c>
      <c r="E35" s="16">
        <v>146</v>
      </c>
      <c r="F35" s="16">
        <v>403.36</v>
      </c>
      <c r="G35" s="16">
        <v>702.28</v>
      </c>
      <c r="H35" s="16">
        <v>1674.08</v>
      </c>
      <c r="I35" s="16">
        <v>944.66</v>
      </c>
      <c r="J35" s="16">
        <v>370.49</v>
      </c>
    </row>
    <row r="36" spans="1:10" x14ac:dyDescent="0.2">
      <c r="A36" s="16"/>
      <c r="C36" s="5" t="s">
        <v>180</v>
      </c>
      <c r="D36" s="17">
        <v>9</v>
      </c>
      <c r="E36" s="16">
        <v>106</v>
      </c>
      <c r="F36" s="16">
        <v>431.65</v>
      </c>
      <c r="G36" s="16">
        <v>361.23</v>
      </c>
      <c r="H36" s="16">
        <v>1246.98</v>
      </c>
      <c r="I36" s="16">
        <v>858.64</v>
      </c>
      <c r="J36" s="16">
        <v>341.69</v>
      </c>
    </row>
    <row r="37" spans="1:10" x14ac:dyDescent="0.2">
      <c r="A37" s="16"/>
      <c r="C37" s="5" t="s">
        <v>179</v>
      </c>
      <c r="D37" s="17">
        <v>4</v>
      </c>
      <c r="E37" s="16">
        <v>29</v>
      </c>
      <c r="F37" s="16">
        <v>54.4</v>
      </c>
      <c r="G37" s="16">
        <v>120.8</v>
      </c>
      <c r="H37" s="16">
        <v>173.2</v>
      </c>
      <c r="I37" s="16">
        <v>50.91</v>
      </c>
      <c r="J37" s="21" t="s">
        <v>148</v>
      </c>
    </row>
    <row r="38" spans="1:10" x14ac:dyDescent="0.2">
      <c r="D38" s="14"/>
      <c r="F38" s="16"/>
      <c r="G38" s="16"/>
      <c r="H38" s="16"/>
      <c r="I38" s="16"/>
      <c r="J38" s="16"/>
    </row>
    <row r="39" spans="1:10" x14ac:dyDescent="0.2">
      <c r="A39" s="16"/>
      <c r="C39" s="5" t="s">
        <v>178</v>
      </c>
      <c r="D39" s="17">
        <v>54</v>
      </c>
      <c r="E39" s="16">
        <v>666</v>
      </c>
      <c r="F39" s="16">
        <v>1692.86</v>
      </c>
      <c r="G39" s="16">
        <v>5469.23</v>
      </c>
      <c r="H39" s="16">
        <v>9426.43</v>
      </c>
      <c r="I39" s="16">
        <v>3828</v>
      </c>
      <c r="J39" s="16">
        <v>1975.26</v>
      </c>
    </row>
    <row r="40" spans="1:10" x14ac:dyDescent="0.2">
      <c r="A40" s="16"/>
      <c r="C40" s="5" t="s">
        <v>177</v>
      </c>
      <c r="D40" s="17">
        <v>40</v>
      </c>
      <c r="E40" s="16">
        <v>721</v>
      </c>
      <c r="F40" s="16">
        <v>2301.13</v>
      </c>
      <c r="G40" s="16">
        <v>6904.49</v>
      </c>
      <c r="H40" s="16">
        <v>11294.29</v>
      </c>
      <c r="I40" s="16">
        <v>4228.7700000000004</v>
      </c>
      <c r="J40" s="16">
        <v>7459.18</v>
      </c>
    </row>
    <row r="41" spans="1:10" x14ac:dyDescent="0.2">
      <c r="A41" s="16"/>
      <c r="C41" s="5" t="s">
        <v>176</v>
      </c>
      <c r="D41" s="17">
        <v>32</v>
      </c>
      <c r="E41" s="16">
        <v>1161</v>
      </c>
      <c r="F41" s="16">
        <v>4357.4799999999996</v>
      </c>
      <c r="G41" s="16">
        <v>20216.59</v>
      </c>
      <c r="H41" s="16">
        <v>30955.06</v>
      </c>
      <c r="I41" s="16">
        <v>10422.700000000001</v>
      </c>
      <c r="J41" s="16">
        <v>12358.13</v>
      </c>
    </row>
    <row r="42" spans="1:10" x14ac:dyDescent="0.2">
      <c r="A42" s="16"/>
      <c r="C42" s="5" t="s">
        <v>175</v>
      </c>
      <c r="D42" s="17">
        <v>17</v>
      </c>
      <c r="E42" s="16">
        <v>122</v>
      </c>
      <c r="F42" s="16">
        <v>233.58</v>
      </c>
      <c r="G42" s="16">
        <v>777.33</v>
      </c>
      <c r="H42" s="16">
        <v>1393.17</v>
      </c>
      <c r="I42" s="16">
        <v>555.41999999999996</v>
      </c>
      <c r="J42" s="21" t="s">
        <v>151</v>
      </c>
    </row>
    <row r="43" spans="1:10" x14ac:dyDescent="0.2">
      <c r="A43" s="16"/>
      <c r="C43" s="5" t="s">
        <v>174</v>
      </c>
      <c r="D43" s="17">
        <v>14</v>
      </c>
      <c r="E43" s="16">
        <v>217</v>
      </c>
      <c r="F43" s="16">
        <v>640.61</v>
      </c>
      <c r="G43" s="16">
        <v>1311</v>
      </c>
      <c r="H43" s="16">
        <v>2546.04</v>
      </c>
      <c r="I43" s="16">
        <v>1192.1300000000001</v>
      </c>
      <c r="J43" s="16">
        <v>721.15</v>
      </c>
    </row>
    <row r="44" spans="1:10" x14ac:dyDescent="0.2">
      <c r="D44" s="14"/>
      <c r="F44" s="16"/>
      <c r="G44" s="16"/>
      <c r="H44" s="16"/>
      <c r="I44" s="16"/>
      <c r="J44" s="16"/>
    </row>
    <row r="45" spans="1:10" x14ac:dyDescent="0.2">
      <c r="A45" s="16"/>
      <c r="C45" s="5" t="s">
        <v>173</v>
      </c>
      <c r="D45" s="17">
        <v>20</v>
      </c>
      <c r="E45" s="16">
        <v>346</v>
      </c>
      <c r="F45" s="16">
        <v>1034.48</v>
      </c>
      <c r="G45" s="16">
        <v>3984.66</v>
      </c>
      <c r="H45" s="16">
        <v>6483.96</v>
      </c>
      <c r="I45" s="16">
        <v>2395.65</v>
      </c>
      <c r="J45" s="16">
        <v>1155.57</v>
      </c>
    </row>
    <row r="46" spans="1:10" x14ac:dyDescent="0.2">
      <c r="A46" s="16"/>
      <c r="C46" s="5" t="s">
        <v>172</v>
      </c>
      <c r="D46" s="17">
        <v>19</v>
      </c>
      <c r="E46" s="16">
        <v>211</v>
      </c>
      <c r="F46" s="16">
        <v>785.53</v>
      </c>
      <c r="G46" s="16">
        <v>2943.71</v>
      </c>
      <c r="H46" s="16">
        <v>4885.09</v>
      </c>
      <c r="I46" s="16">
        <v>1884.94</v>
      </c>
      <c r="J46" s="16">
        <v>946.6</v>
      </c>
    </row>
    <row r="47" spans="1:10" x14ac:dyDescent="0.2">
      <c r="A47" s="16"/>
      <c r="C47" s="5" t="s">
        <v>171</v>
      </c>
      <c r="D47" s="17">
        <v>23</v>
      </c>
      <c r="E47" s="16">
        <v>554</v>
      </c>
      <c r="F47" s="16">
        <v>1813.65</v>
      </c>
      <c r="G47" s="16">
        <v>6041.94</v>
      </c>
      <c r="H47" s="16">
        <v>17667.490000000002</v>
      </c>
      <c r="I47" s="16">
        <v>11145.85</v>
      </c>
      <c r="J47" s="16">
        <v>5469.63</v>
      </c>
    </row>
    <row r="48" spans="1:10" x14ac:dyDescent="0.2">
      <c r="A48" s="16"/>
      <c r="C48" s="5" t="s">
        <v>170</v>
      </c>
      <c r="D48" s="17">
        <v>19</v>
      </c>
      <c r="E48" s="16">
        <v>509</v>
      </c>
      <c r="F48" s="16">
        <v>1834.92</v>
      </c>
      <c r="G48" s="16">
        <v>4287.12</v>
      </c>
      <c r="H48" s="16">
        <v>8746.1299999999992</v>
      </c>
      <c r="I48" s="16">
        <v>4305.8599999999997</v>
      </c>
      <c r="J48" s="16">
        <v>6389.71</v>
      </c>
    </row>
    <row r="49" spans="1:10" x14ac:dyDescent="0.2">
      <c r="A49" s="16"/>
      <c r="C49" s="5" t="s">
        <v>169</v>
      </c>
      <c r="D49" s="17">
        <v>5</v>
      </c>
      <c r="E49" s="16">
        <v>38</v>
      </c>
      <c r="F49" s="16">
        <v>94.99</v>
      </c>
      <c r="G49" s="16">
        <v>393.81</v>
      </c>
      <c r="H49" s="16">
        <v>732.28</v>
      </c>
      <c r="I49" s="16">
        <v>329.2</v>
      </c>
      <c r="J49" s="21" t="s">
        <v>151</v>
      </c>
    </row>
    <row r="50" spans="1:10" x14ac:dyDescent="0.2">
      <c r="A50" s="16"/>
      <c r="C50" s="5" t="s">
        <v>168</v>
      </c>
      <c r="D50" s="17">
        <v>5</v>
      </c>
      <c r="E50" s="16">
        <v>168</v>
      </c>
      <c r="F50" s="16">
        <v>440.42</v>
      </c>
      <c r="G50" s="16">
        <v>835.01</v>
      </c>
      <c r="H50" s="16">
        <v>2120.52</v>
      </c>
      <c r="I50" s="16">
        <v>1224.02</v>
      </c>
      <c r="J50" s="16">
        <v>1313.11</v>
      </c>
    </row>
    <row r="51" spans="1:10" x14ac:dyDescent="0.2">
      <c r="A51" s="16"/>
      <c r="C51" s="5" t="s">
        <v>167</v>
      </c>
      <c r="D51" s="17">
        <v>13</v>
      </c>
      <c r="E51" s="16">
        <v>176</v>
      </c>
      <c r="F51" s="16">
        <v>505.86</v>
      </c>
      <c r="G51" s="16">
        <v>823.04</v>
      </c>
      <c r="H51" s="16">
        <v>1760.8</v>
      </c>
      <c r="I51" s="16">
        <v>909.68</v>
      </c>
      <c r="J51" s="16">
        <v>402.83</v>
      </c>
    </row>
    <row r="52" spans="1:10" x14ac:dyDescent="0.2">
      <c r="A52" s="16"/>
      <c r="C52" s="5" t="s">
        <v>166</v>
      </c>
      <c r="D52" s="17">
        <v>41</v>
      </c>
      <c r="E52" s="16">
        <v>712</v>
      </c>
      <c r="F52" s="16">
        <v>2130.86</v>
      </c>
      <c r="G52" s="16">
        <v>12057.83</v>
      </c>
      <c r="H52" s="16">
        <v>17428.96</v>
      </c>
      <c r="I52" s="16">
        <v>5203.7299999999996</v>
      </c>
      <c r="J52" s="16">
        <v>3729.87</v>
      </c>
    </row>
    <row r="53" spans="1:10" x14ac:dyDescent="0.2">
      <c r="A53" s="16"/>
      <c r="C53" s="5" t="s">
        <v>165</v>
      </c>
      <c r="D53" s="17">
        <v>47</v>
      </c>
      <c r="E53" s="16">
        <v>1060</v>
      </c>
      <c r="F53" s="16">
        <v>3508.81</v>
      </c>
      <c r="G53" s="16">
        <v>15094.62</v>
      </c>
      <c r="H53" s="16">
        <v>25601.200000000001</v>
      </c>
      <c r="I53" s="16">
        <v>10267.19</v>
      </c>
      <c r="J53" s="16">
        <v>6474.47</v>
      </c>
    </row>
    <row r="54" spans="1:10" x14ac:dyDescent="0.2">
      <c r="A54" s="16"/>
      <c r="C54" s="5" t="s">
        <v>164</v>
      </c>
      <c r="D54" s="17">
        <v>29</v>
      </c>
      <c r="E54" s="16">
        <v>720</v>
      </c>
      <c r="F54" s="16">
        <v>2620.9499999999998</v>
      </c>
      <c r="G54" s="16">
        <v>7082.4</v>
      </c>
      <c r="H54" s="16">
        <v>13494.02</v>
      </c>
      <c r="I54" s="16">
        <v>6136.03</v>
      </c>
      <c r="J54" s="16">
        <v>8469.4599999999991</v>
      </c>
    </row>
    <row r="55" spans="1:10" x14ac:dyDescent="0.2">
      <c r="D55" s="14"/>
      <c r="F55" s="16"/>
      <c r="G55" s="16"/>
      <c r="H55" s="16"/>
      <c r="I55" s="16"/>
      <c r="J55" s="16"/>
    </row>
    <row r="56" spans="1:10" x14ac:dyDescent="0.2">
      <c r="A56" s="16"/>
      <c r="C56" s="5" t="s">
        <v>163</v>
      </c>
      <c r="D56" s="17">
        <v>38</v>
      </c>
      <c r="E56" s="16">
        <v>671</v>
      </c>
      <c r="F56" s="16">
        <v>2195.3000000000002</v>
      </c>
      <c r="G56" s="16">
        <v>5239.7700000000004</v>
      </c>
      <c r="H56" s="16">
        <v>8964.0300000000007</v>
      </c>
      <c r="I56" s="16">
        <v>3580.45</v>
      </c>
      <c r="J56" s="16">
        <v>1199.71</v>
      </c>
    </row>
    <row r="57" spans="1:10" x14ac:dyDescent="0.2">
      <c r="A57" s="16"/>
      <c r="C57" s="5" t="s">
        <v>162</v>
      </c>
      <c r="D57" s="17">
        <v>14</v>
      </c>
      <c r="E57" s="16">
        <v>219</v>
      </c>
      <c r="F57" s="16">
        <v>624.59</v>
      </c>
      <c r="G57" s="16">
        <v>769.11</v>
      </c>
      <c r="H57" s="16">
        <v>1954.92</v>
      </c>
      <c r="I57" s="16">
        <v>1114.6199999999999</v>
      </c>
      <c r="J57" s="16">
        <v>739.42</v>
      </c>
    </row>
    <row r="58" spans="1:10" x14ac:dyDescent="0.2">
      <c r="A58" s="16"/>
      <c r="C58" s="5" t="s">
        <v>161</v>
      </c>
      <c r="D58" s="17">
        <v>14</v>
      </c>
      <c r="E58" s="16">
        <v>168</v>
      </c>
      <c r="F58" s="16">
        <v>377.8</v>
      </c>
      <c r="G58" s="16">
        <v>733.39</v>
      </c>
      <c r="H58" s="16">
        <v>1529.58</v>
      </c>
      <c r="I58" s="16">
        <v>775.31</v>
      </c>
      <c r="J58" s="16">
        <v>599.63</v>
      </c>
    </row>
    <row r="59" spans="1:10" x14ac:dyDescent="0.2">
      <c r="A59" s="16"/>
      <c r="C59" s="5" t="s">
        <v>160</v>
      </c>
      <c r="D59" s="17">
        <v>34</v>
      </c>
      <c r="E59" s="16">
        <v>979</v>
      </c>
      <c r="F59" s="16">
        <v>3597.5</v>
      </c>
      <c r="G59" s="16">
        <v>8087.59</v>
      </c>
      <c r="H59" s="16">
        <v>16904.23</v>
      </c>
      <c r="I59" s="16">
        <v>8561.92</v>
      </c>
      <c r="J59" s="16">
        <v>8602.91</v>
      </c>
    </row>
    <row r="60" spans="1:10" x14ac:dyDescent="0.2">
      <c r="A60" s="16"/>
      <c r="C60" s="5" t="s">
        <v>159</v>
      </c>
      <c r="D60" s="17">
        <v>12</v>
      </c>
      <c r="E60" s="16">
        <v>291</v>
      </c>
      <c r="F60" s="16">
        <v>915.96</v>
      </c>
      <c r="G60" s="16">
        <v>1429.32</v>
      </c>
      <c r="H60" s="16">
        <v>3581.9</v>
      </c>
      <c r="I60" s="16">
        <v>2049.9299999999998</v>
      </c>
      <c r="J60" s="16">
        <v>1117.69</v>
      </c>
    </row>
    <row r="61" spans="1:10" x14ac:dyDescent="0.2">
      <c r="A61" s="16"/>
      <c r="C61" s="5" t="s">
        <v>158</v>
      </c>
      <c r="D61" s="17">
        <v>18</v>
      </c>
      <c r="E61" s="16">
        <v>276</v>
      </c>
      <c r="F61" s="16">
        <v>689.33</v>
      </c>
      <c r="G61" s="16">
        <v>3441.2</v>
      </c>
      <c r="H61" s="16">
        <v>5243.12</v>
      </c>
      <c r="I61" s="16">
        <v>1751.49</v>
      </c>
      <c r="J61" s="16">
        <v>1703.25</v>
      </c>
    </row>
    <row r="62" spans="1:10" x14ac:dyDescent="0.2">
      <c r="A62" s="16"/>
      <c r="C62" s="5" t="s">
        <v>157</v>
      </c>
      <c r="D62" s="17">
        <v>25</v>
      </c>
      <c r="E62" s="16">
        <v>359</v>
      </c>
      <c r="F62" s="16">
        <v>1051.92</v>
      </c>
      <c r="G62" s="16">
        <v>2308.62</v>
      </c>
      <c r="H62" s="16">
        <v>4808.08</v>
      </c>
      <c r="I62" s="16">
        <v>2415.91</v>
      </c>
      <c r="J62" s="16">
        <v>1117.27</v>
      </c>
    </row>
    <row r="63" spans="1:10" x14ac:dyDescent="0.2">
      <c r="D63" s="14"/>
      <c r="F63" s="16"/>
      <c r="G63" s="16"/>
      <c r="H63" s="16"/>
      <c r="I63" s="16"/>
      <c r="J63" s="16"/>
    </row>
    <row r="64" spans="1:10" x14ac:dyDescent="0.2">
      <c r="A64" s="16"/>
      <c r="C64" s="5" t="s">
        <v>156</v>
      </c>
      <c r="D64" s="17">
        <v>34</v>
      </c>
      <c r="E64" s="16">
        <v>427</v>
      </c>
      <c r="F64" s="16">
        <v>1124.71</v>
      </c>
      <c r="G64" s="16">
        <v>2445.66</v>
      </c>
      <c r="H64" s="16">
        <v>4849.16</v>
      </c>
      <c r="I64" s="16">
        <v>2298.58</v>
      </c>
      <c r="J64" s="16">
        <v>2431.39</v>
      </c>
    </row>
    <row r="65" spans="1:10" x14ac:dyDescent="0.2">
      <c r="A65" s="16"/>
      <c r="C65" s="5" t="s">
        <v>155</v>
      </c>
      <c r="D65" s="17">
        <v>13</v>
      </c>
      <c r="E65" s="16">
        <v>137</v>
      </c>
      <c r="F65" s="16">
        <v>240.62</v>
      </c>
      <c r="G65" s="16">
        <v>611.55999999999995</v>
      </c>
      <c r="H65" s="16">
        <v>1255.6400000000001</v>
      </c>
      <c r="I65" s="16">
        <v>625.97</v>
      </c>
      <c r="J65" s="21">
        <v>495.11</v>
      </c>
    </row>
    <row r="66" spans="1:10" x14ac:dyDescent="0.2">
      <c r="A66" s="16"/>
      <c r="C66" s="5" t="s">
        <v>154</v>
      </c>
      <c r="D66" s="17">
        <v>17</v>
      </c>
      <c r="E66" s="16">
        <v>170</v>
      </c>
      <c r="F66" s="16">
        <v>357.11</v>
      </c>
      <c r="G66" s="16">
        <v>698.49</v>
      </c>
      <c r="H66" s="16">
        <v>1175.83</v>
      </c>
      <c r="I66" s="16">
        <v>458.99</v>
      </c>
      <c r="J66" s="16">
        <v>1268.1300000000001</v>
      </c>
    </row>
    <row r="67" spans="1:10" x14ac:dyDescent="0.2">
      <c r="A67" s="16"/>
      <c r="C67" s="5" t="s">
        <v>153</v>
      </c>
      <c r="D67" s="17">
        <v>7</v>
      </c>
      <c r="E67" s="16">
        <v>49</v>
      </c>
      <c r="F67" s="16">
        <v>126.87</v>
      </c>
      <c r="G67" s="16">
        <v>320.27999999999997</v>
      </c>
      <c r="H67" s="16">
        <v>575.04999999999995</v>
      </c>
      <c r="I67" s="16">
        <v>239.96</v>
      </c>
      <c r="J67" s="21" t="s">
        <v>151</v>
      </c>
    </row>
    <row r="68" spans="1:10" x14ac:dyDescent="0.2">
      <c r="A68" s="16"/>
      <c r="C68" s="5" t="s">
        <v>152</v>
      </c>
      <c r="D68" s="17">
        <v>4</v>
      </c>
      <c r="E68" s="16">
        <v>66</v>
      </c>
      <c r="F68" s="16">
        <v>226.97</v>
      </c>
      <c r="G68" s="16">
        <v>663.5</v>
      </c>
      <c r="H68" s="16">
        <v>1072.78</v>
      </c>
      <c r="I68" s="16">
        <v>394.24</v>
      </c>
      <c r="J68" s="21" t="s">
        <v>151</v>
      </c>
    </row>
    <row r="69" spans="1:10" x14ac:dyDescent="0.2">
      <c r="A69" s="16"/>
      <c r="C69" s="5" t="s">
        <v>150</v>
      </c>
      <c r="D69" s="17">
        <v>5</v>
      </c>
      <c r="E69" s="16">
        <v>61</v>
      </c>
      <c r="F69" s="16">
        <v>127.88</v>
      </c>
      <c r="G69" s="16">
        <v>180.14</v>
      </c>
      <c r="H69" s="16">
        <v>280.89</v>
      </c>
      <c r="I69" s="16">
        <v>95.69</v>
      </c>
      <c r="J69" s="21">
        <v>44.93</v>
      </c>
    </row>
    <row r="70" spans="1:10" x14ac:dyDescent="0.2">
      <c r="A70" s="16"/>
      <c r="C70" s="5" t="s">
        <v>149</v>
      </c>
      <c r="D70" s="26" t="s">
        <v>148</v>
      </c>
      <c r="E70" s="21" t="s">
        <v>148</v>
      </c>
      <c r="F70" s="21" t="s">
        <v>148</v>
      </c>
      <c r="G70" s="21" t="s">
        <v>148</v>
      </c>
      <c r="H70" s="21" t="s">
        <v>148</v>
      </c>
      <c r="I70" s="21" t="s">
        <v>148</v>
      </c>
      <c r="J70" s="21" t="s">
        <v>148</v>
      </c>
    </row>
    <row r="71" spans="1:10" ht="18" thickBot="1" x14ac:dyDescent="0.25">
      <c r="B71" s="9"/>
      <c r="C71" s="41"/>
      <c r="D71" s="40"/>
      <c r="E71" s="39"/>
      <c r="F71" s="38"/>
      <c r="G71" s="38"/>
      <c r="H71" s="38"/>
      <c r="I71" s="38"/>
      <c r="J71" s="38"/>
    </row>
    <row r="72" spans="1:10" x14ac:dyDescent="0.2">
      <c r="D72" s="5" t="s">
        <v>147</v>
      </c>
      <c r="H72" s="5" t="s">
        <v>146</v>
      </c>
      <c r="I72" s="33"/>
      <c r="J72" s="33"/>
    </row>
    <row r="73" spans="1:10" x14ac:dyDescent="0.2">
      <c r="A73" s="5"/>
    </row>
    <row r="74" spans="1:10" x14ac:dyDescent="0.2">
      <c r="F74" s="33"/>
      <c r="G74" s="33"/>
      <c r="H74" s="33"/>
      <c r="I74" s="33"/>
      <c r="J74" s="33"/>
    </row>
  </sheetData>
  <phoneticPr fontId="5"/>
  <pageMargins left="0.34" right="0.56999999999999995" top="0.63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4"/>
  <sheetViews>
    <sheetView showGridLines="0" zoomScale="75" zoomScaleNormal="100" workbookViewId="0">
      <selection activeCell="A75" sqref="A75"/>
    </sheetView>
  </sheetViews>
  <sheetFormatPr defaultColWidth="11.69921875" defaultRowHeight="17.25" x14ac:dyDescent="0.2"/>
  <cols>
    <col min="1" max="1" width="10.69921875" style="8" customWidth="1"/>
    <col min="2" max="2" width="2.69921875" style="8" customWidth="1"/>
    <col min="3" max="3" width="22.69921875" style="8" customWidth="1"/>
    <col min="4" max="8" width="11.69921875" style="8"/>
    <col min="9" max="10" width="10.69921875" style="8" customWidth="1"/>
    <col min="11" max="16384" width="11.69921875" style="8"/>
  </cols>
  <sheetData>
    <row r="1" spans="1:11" x14ac:dyDescent="0.2">
      <c r="A1" s="5"/>
    </row>
    <row r="6" spans="1:11" x14ac:dyDescent="0.2">
      <c r="D6" s="1" t="s">
        <v>269</v>
      </c>
      <c r="J6" s="11"/>
    </row>
    <row r="7" spans="1:11" ht="18" thickBot="1" x14ac:dyDescent="0.25">
      <c r="B7" s="9"/>
      <c r="C7" s="9"/>
      <c r="D7" s="10" t="s">
        <v>268</v>
      </c>
      <c r="E7" s="9"/>
      <c r="F7" s="9"/>
      <c r="G7" s="9"/>
      <c r="H7" s="9"/>
      <c r="I7" s="10" t="s">
        <v>267</v>
      </c>
      <c r="J7" s="9"/>
      <c r="K7" s="11"/>
    </row>
    <row r="8" spans="1:11" x14ac:dyDescent="0.2">
      <c r="D8" s="42" t="s">
        <v>266</v>
      </c>
      <c r="E8" s="42" t="s">
        <v>265</v>
      </c>
      <c r="F8" s="42" t="s">
        <v>264</v>
      </c>
      <c r="G8" s="42" t="s">
        <v>263</v>
      </c>
      <c r="H8" s="42" t="s">
        <v>262</v>
      </c>
      <c r="I8" s="49">
        <v>1999</v>
      </c>
      <c r="J8" s="49" t="s">
        <v>261</v>
      </c>
      <c r="K8" s="11"/>
    </row>
    <row r="9" spans="1:11" x14ac:dyDescent="0.2">
      <c r="B9" s="13"/>
      <c r="C9" s="24" t="s">
        <v>228</v>
      </c>
      <c r="D9" s="48" t="s">
        <v>260</v>
      </c>
      <c r="E9" s="15" t="s">
        <v>259</v>
      </c>
      <c r="F9" s="15" t="s">
        <v>258</v>
      </c>
      <c r="G9" s="15" t="s">
        <v>257</v>
      </c>
      <c r="H9" s="15" t="s">
        <v>256</v>
      </c>
      <c r="I9" s="15" t="s">
        <v>255</v>
      </c>
      <c r="J9" s="15" t="s">
        <v>254</v>
      </c>
      <c r="K9" s="11"/>
    </row>
    <row r="10" spans="1:11" x14ac:dyDescent="0.2">
      <c r="D10" s="14"/>
      <c r="G10" s="11"/>
      <c r="H10" s="11"/>
      <c r="I10" s="11"/>
      <c r="J10" s="11"/>
      <c r="K10" s="11"/>
    </row>
    <row r="11" spans="1:11" x14ac:dyDescent="0.2">
      <c r="C11" s="1" t="s">
        <v>253</v>
      </c>
      <c r="D11" s="35">
        <f>D13+D46</f>
        <v>24938.243000300004</v>
      </c>
      <c r="E11" s="2">
        <f>E13+E46</f>
        <v>35405.214099999997</v>
      </c>
      <c r="F11" s="2">
        <f>F13+F46</f>
        <v>41407.243000000002</v>
      </c>
      <c r="G11" s="47">
        <f>G13+G46</f>
        <v>37608.481</v>
      </c>
      <c r="H11" s="47">
        <f>H13+H46</f>
        <v>32162.295000000002</v>
      </c>
      <c r="I11" s="47">
        <f>I13+I46</f>
        <v>31424.467000000004</v>
      </c>
      <c r="J11" s="47">
        <f>J13+J46</f>
        <v>27869.774999999998</v>
      </c>
      <c r="K11" s="11"/>
    </row>
    <row r="12" spans="1:11" x14ac:dyDescent="0.2">
      <c r="D12" s="14"/>
      <c r="G12" s="11"/>
      <c r="H12" s="11"/>
      <c r="I12" s="11"/>
      <c r="J12" s="11"/>
      <c r="K12" s="11"/>
    </row>
    <row r="13" spans="1:11" x14ac:dyDescent="0.2">
      <c r="B13" s="1" t="s">
        <v>252</v>
      </c>
      <c r="C13" s="2"/>
      <c r="D13" s="35">
        <f>SUM(D15:D44)</f>
        <v>4121.76</v>
      </c>
      <c r="E13" s="2">
        <f>SUM(E15:E44)</f>
        <v>5374.7740999999996</v>
      </c>
      <c r="F13" s="2">
        <f>SUM(F15:F44)</f>
        <v>6425.759</v>
      </c>
      <c r="G13" s="47">
        <f>SUM(G15:G44)</f>
        <v>6684.24</v>
      </c>
      <c r="H13" s="47">
        <f>SUM(H15:H44)</f>
        <v>6455.661000000001</v>
      </c>
      <c r="I13" s="47">
        <f>SUM(I15:I44)</f>
        <v>6485.8880000000017</v>
      </c>
      <c r="J13" s="47">
        <f>SUM(J15:J44)</f>
        <v>6190.9609999999993</v>
      </c>
      <c r="K13" s="11"/>
    </row>
    <row r="14" spans="1:11" x14ac:dyDescent="0.2">
      <c r="D14" s="14"/>
      <c r="G14" s="11"/>
      <c r="H14" s="11"/>
      <c r="I14" s="11"/>
      <c r="J14" s="11"/>
      <c r="K14" s="11"/>
    </row>
    <row r="15" spans="1:11" x14ac:dyDescent="0.2">
      <c r="C15" s="5" t="s">
        <v>251</v>
      </c>
      <c r="D15" s="17">
        <v>312.00099999999998</v>
      </c>
      <c r="E15" s="16">
        <v>507.29</v>
      </c>
      <c r="F15" s="16">
        <v>784.72500000000002</v>
      </c>
      <c r="G15" s="45">
        <v>826.80799999999999</v>
      </c>
      <c r="H15" s="45">
        <v>755.29300000000001</v>
      </c>
      <c r="I15" s="44">
        <v>751.32</v>
      </c>
      <c r="J15" s="44">
        <v>708.37699999999995</v>
      </c>
      <c r="K15" s="11"/>
    </row>
    <row r="16" spans="1:11" x14ac:dyDescent="0.2">
      <c r="C16" s="5" t="s">
        <v>250</v>
      </c>
      <c r="D16" s="17">
        <v>52.75</v>
      </c>
      <c r="E16" s="16">
        <v>81.471000000000004</v>
      </c>
      <c r="F16" s="16">
        <v>106.044</v>
      </c>
      <c r="G16" s="45">
        <v>132.09800000000001</v>
      </c>
      <c r="H16" s="45">
        <v>138.87700000000001</v>
      </c>
      <c r="I16" s="44">
        <v>146.44900000000001</v>
      </c>
      <c r="J16" s="44">
        <v>145.88300000000001</v>
      </c>
      <c r="K16" s="11"/>
    </row>
    <row r="17" spans="3:11" x14ac:dyDescent="0.2">
      <c r="C17" s="5" t="s">
        <v>249</v>
      </c>
      <c r="D17" s="17">
        <v>61.183999999999997</v>
      </c>
      <c r="E17" s="16">
        <v>67.921000000000006</v>
      </c>
      <c r="F17" s="16">
        <v>166.62899999999999</v>
      </c>
      <c r="G17" s="45">
        <v>168.41900000000001</v>
      </c>
      <c r="H17" s="45">
        <v>189.80500000000001</v>
      </c>
      <c r="I17" s="44">
        <v>181.53100000000001</v>
      </c>
      <c r="J17" s="44">
        <v>170.179</v>
      </c>
      <c r="K17" s="11"/>
    </row>
    <row r="18" spans="3:11" x14ac:dyDescent="0.2">
      <c r="D18" s="17"/>
      <c r="E18" s="16"/>
      <c r="F18" s="16"/>
      <c r="G18" s="45"/>
      <c r="H18" s="45"/>
      <c r="I18" s="11"/>
      <c r="J18" s="11"/>
      <c r="K18" s="11"/>
    </row>
    <row r="19" spans="3:11" x14ac:dyDescent="0.2">
      <c r="C19" s="5" t="s">
        <v>248</v>
      </c>
      <c r="D19" s="17">
        <v>31.268000000000001</v>
      </c>
      <c r="E19" s="16">
        <v>41.134</v>
      </c>
      <c r="F19" s="16">
        <v>47.637999999999998</v>
      </c>
      <c r="G19" s="45">
        <v>48.665999999999997</v>
      </c>
      <c r="H19" s="45">
        <v>42.134</v>
      </c>
      <c r="I19" s="44">
        <v>39.991</v>
      </c>
      <c r="J19" s="44">
        <v>32.082000000000001</v>
      </c>
      <c r="K19" s="11"/>
    </row>
    <row r="20" spans="3:11" x14ac:dyDescent="0.2">
      <c r="C20" s="5" t="s">
        <v>247</v>
      </c>
      <c r="D20" s="17">
        <v>92.888000000000005</v>
      </c>
      <c r="E20" s="16">
        <v>175.023</v>
      </c>
      <c r="F20" s="16">
        <v>57.091999999999999</v>
      </c>
      <c r="G20" s="45">
        <v>67.141000000000005</v>
      </c>
      <c r="H20" s="45">
        <v>91.307000000000002</v>
      </c>
      <c r="I20" s="44">
        <v>109.548</v>
      </c>
      <c r="J20" s="44">
        <v>91.721000000000004</v>
      </c>
      <c r="K20" s="11"/>
    </row>
    <row r="21" spans="3:11" x14ac:dyDescent="0.2">
      <c r="C21" s="5" t="s">
        <v>246</v>
      </c>
      <c r="D21" s="17">
        <v>175.06700000000001</v>
      </c>
      <c r="E21" s="16">
        <v>298.57799999999997</v>
      </c>
      <c r="F21" s="16">
        <v>213.73599999999999</v>
      </c>
      <c r="G21" s="45">
        <v>264.59399999999999</v>
      </c>
      <c r="H21" s="45">
        <v>271.28800000000001</v>
      </c>
      <c r="I21" s="44">
        <v>262.274</v>
      </c>
      <c r="J21" s="44">
        <v>251.31800000000001</v>
      </c>
      <c r="K21" s="11"/>
    </row>
    <row r="22" spans="3:11" x14ac:dyDescent="0.2">
      <c r="D22" s="17"/>
      <c r="E22" s="16"/>
      <c r="F22" s="16"/>
      <c r="G22" s="45"/>
      <c r="H22" s="45"/>
      <c r="I22" s="11"/>
      <c r="J22" s="11"/>
      <c r="K22" s="11"/>
    </row>
    <row r="23" spans="3:11" x14ac:dyDescent="0.2">
      <c r="C23" s="5" t="s">
        <v>245</v>
      </c>
      <c r="D23" s="17">
        <v>467.36799999999999</v>
      </c>
      <c r="E23" s="16">
        <v>639.57399999999996</v>
      </c>
      <c r="F23" s="16">
        <v>696.67</v>
      </c>
      <c r="G23" s="45">
        <v>769.47299999999996</v>
      </c>
      <c r="H23" s="45">
        <v>741.60500000000002</v>
      </c>
      <c r="I23" s="44">
        <v>777.30700000000002</v>
      </c>
      <c r="J23" s="44">
        <v>784.79499999999996</v>
      </c>
      <c r="K23" s="11"/>
    </row>
    <row r="24" spans="3:11" x14ac:dyDescent="0.2">
      <c r="C24" s="5" t="s">
        <v>244</v>
      </c>
      <c r="D24" s="17">
        <v>1.8</v>
      </c>
      <c r="E24" s="16">
        <v>1E-4</v>
      </c>
      <c r="F24" s="16">
        <v>0.5</v>
      </c>
      <c r="G24" s="45">
        <v>3.363</v>
      </c>
      <c r="H24" s="45">
        <v>1.6839999999999999</v>
      </c>
      <c r="I24" s="44">
        <v>2.8</v>
      </c>
      <c r="J24" s="44">
        <v>2.242</v>
      </c>
      <c r="K24" s="11"/>
    </row>
    <row r="25" spans="3:11" x14ac:dyDescent="0.2">
      <c r="C25" s="5" t="s">
        <v>243</v>
      </c>
      <c r="D25" s="17">
        <v>62.344999999999999</v>
      </c>
      <c r="E25" s="16">
        <v>57.689</v>
      </c>
      <c r="F25" s="16">
        <v>60.587000000000003</v>
      </c>
      <c r="G25" s="45">
        <v>66.466999999999999</v>
      </c>
      <c r="H25" s="45">
        <v>44.701999999999998</v>
      </c>
      <c r="I25" s="44">
        <v>47.701999999999998</v>
      </c>
      <c r="J25" s="44">
        <v>51</v>
      </c>
      <c r="K25" s="11"/>
    </row>
    <row r="26" spans="3:11" x14ac:dyDescent="0.2">
      <c r="D26" s="17"/>
      <c r="E26" s="16"/>
      <c r="F26" s="16"/>
      <c r="G26" s="45"/>
      <c r="H26" s="45"/>
      <c r="I26" s="11"/>
      <c r="J26" s="11"/>
      <c r="K26" s="11"/>
    </row>
    <row r="27" spans="3:11" x14ac:dyDescent="0.2">
      <c r="C27" s="5" t="s">
        <v>242</v>
      </c>
      <c r="D27" s="17">
        <v>781.23699999999997</v>
      </c>
      <c r="E27" s="16">
        <v>646.01099999999997</v>
      </c>
      <c r="F27" s="16">
        <v>843.649</v>
      </c>
      <c r="G27" s="45">
        <v>1212.104</v>
      </c>
      <c r="H27" s="45">
        <v>1414.239</v>
      </c>
      <c r="I27" s="44">
        <v>1476.046</v>
      </c>
      <c r="J27" s="44">
        <v>1353.615</v>
      </c>
      <c r="K27" s="11"/>
    </row>
    <row r="28" spans="3:11" x14ac:dyDescent="0.2">
      <c r="C28" s="5" t="s">
        <v>241</v>
      </c>
      <c r="D28" s="17">
        <v>23.867000000000001</v>
      </c>
      <c r="E28" s="16">
        <v>156.369</v>
      </c>
      <c r="F28" s="16">
        <v>87.430999999999997</v>
      </c>
      <c r="G28" s="45">
        <v>58.433</v>
      </c>
      <c r="H28" s="45">
        <v>71.548000000000002</v>
      </c>
      <c r="I28" s="44">
        <v>62.031999999999996</v>
      </c>
      <c r="J28" s="44">
        <v>34.069000000000003</v>
      </c>
      <c r="K28" s="11"/>
    </row>
    <row r="29" spans="3:11" x14ac:dyDescent="0.2">
      <c r="C29" s="5" t="s">
        <v>240</v>
      </c>
      <c r="D29" s="17">
        <v>158.976</v>
      </c>
      <c r="E29" s="16">
        <v>215.34800000000001</v>
      </c>
      <c r="F29" s="16">
        <v>317.92</v>
      </c>
      <c r="G29" s="45">
        <v>304.108</v>
      </c>
      <c r="H29" s="45">
        <v>299.428</v>
      </c>
      <c r="I29" s="44">
        <v>321.43400000000003</v>
      </c>
      <c r="J29" s="44">
        <v>313.25200000000001</v>
      </c>
      <c r="K29" s="11"/>
    </row>
    <row r="30" spans="3:11" x14ac:dyDescent="0.2">
      <c r="D30" s="17"/>
      <c r="E30" s="16"/>
      <c r="F30" s="16"/>
      <c r="G30" s="45"/>
      <c r="H30" s="45"/>
      <c r="I30" s="11"/>
      <c r="J30" s="11"/>
      <c r="K30" s="11"/>
    </row>
    <row r="31" spans="3:11" x14ac:dyDescent="0.2">
      <c r="C31" s="5" t="s">
        <v>239</v>
      </c>
      <c r="D31" s="26" t="s">
        <v>215</v>
      </c>
      <c r="E31" s="16">
        <v>4.5369999999999999</v>
      </c>
      <c r="F31" s="21" t="s">
        <v>214</v>
      </c>
      <c r="G31" s="21" t="s">
        <v>214</v>
      </c>
      <c r="H31" s="21" t="s">
        <v>214</v>
      </c>
      <c r="I31" s="21" t="s">
        <v>214</v>
      </c>
      <c r="J31" s="21" t="s">
        <v>214</v>
      </c>
      <c r="K31" s="11"/>
    </row>
    <row r="32" spans="3:11" x14ac:dyDescent="0.2">
      <c r="C32" s="5" t="s">
        <v>238</v>
      </c>
      <c r="D32" s="17">
        <v>3.8809999999999998</v>
      </c>
      <c r="E32" s="16">
        <v>0.04</v>
      </c>
      <c r="F32" s="21" t="s">
        <v>214</v>
      </c>
      <c r="G32" s="21" t="s">
        <v>214</v>
      </c>
      <c r="H32" s="21" t="s">
        <v>214</v>
      </c>
      <c r="I32" s="21" t="s">
        <v>214</v>
      </c>
      <c r="J32" s="21" t="s">
        <v>214</v>
      </c>
      <c r="K32" s="11"/>
    </row>
    <row r="33" spans="2:11" x14ac:dyDescent="0.2">
      <c r="C33" s="5" t="s">
        <v>237</v>
      </c>
      <c r="D33" s="17">
        <v>718.90499999999997</v>
      </c>
      <c r="E33" s="16">
        <v>411.822</v>
      </c>
      <c r="F33" s="16">
        <v>496.40100000000001</v>
      </c>
      <c r="G33" s="45">
        <v>461.27300000000002</v>
      </c>
      <c r="H33" s="45">
        <v>232.971</v>
      </c>
      <c r="I33" s="44">
        <v>175.08600000000001</v>
      </c>
      <c r="J33" s="44">
        <v>166.40700000000001</v>
      </c>
      <c r="K33" s="11"/>
    </row>
    <row r="34" spans="2:11" x14ac:dyDescent="0.2">
      <c r="D34" s="17"/>
      <c r="E34" s="16"/>
      <c r="F34" s="16"/>
      <c r="G34" s="45"/>
      <c r="H34" s="45"/>
      <c r="I34" s="11"/>
      <c r="J34" s="11"/>
      <c r="K34" s="11"/>
    </row>
    <row r="35" spans="2:11" x14ac:dyDescent="0.2">
      <c r="C35" s="5" t="s">
        <v>236</v>
      </c>
      <c r="D35" s="26" t="s">
        <v>215</v>
      </c>
      <c r="E35" s="16">
        <v>15.628</v>
      </c>
      <c r="F35" s="21" t="s">
        <v>214</v>
      </c>
      <c r="G35" s="21" t="s">
        <v>214</v>
      </c>
      <c r="H35" s="21" t="s">
        <v>214</v>
      </c>
      <c r="I35" s="21" t="s">
        <v>214</v>
      </c>
      <c r="J35" s="21" t="s">
        <v>214</v>
      </c>
      <c r="K35" s="11"/>
    </row>
    <row r="36" spans="2:11" x14ac:dyDescent="0.2">
      <c r="C36" s="5" t="s">
        <v>235</v>
      </c>
      <c r="D36" s="17">
        <v>371.64299999999997</v>
      </c>
      <c r="E36" s="16">
        <v>786.50699999999995</v>
      </c>
      <c r="F36" s="16">
        <v>1145.9269999999999</v>
      </c>
      <c r="G36" s="45">
        <v>818.22299999999996</v>
      </c>
      <c r="H36" s="45">
        <v>478.80700000000002</v>
      </c>
      <c r="I36" s="44">
        <v>362.98399999999998</v>
      </c>
      <c r="J36" s="44">
        <v>328.476</v>
      </c>
      <c r="K36" s="11"/>
    </row>
    <row r="37" spans="2:11" x14ac:dyDescent="0.2">
      <c r="C37" s="5" t="s">
        <v>234</v>
      </c>
      <c r="D37" s="17">
        <v>621.51800000000003</v>
      </c>
      <c r="E37" s="16">
        <v>906.31899999999996</v>
      </c>
      <c r="F37" s="16">
        <v>947.78200000000004</v>
      </c>
      <c r="G37" s="45">
        <v>929.50699999999995</v>
      </c>
      <c r="H37" s="45">
        <v>940.76400000000001</v>
      </c>
      <c r="I37" s="44">
        <v>939.399</v>
      </c>
      <c r="J37" s="44">
        <v>961.52</v>
      </c>
      <c r="K37" s="11"/>
    </row>
    <row r="38" spans="2:11" x14ac:dyDescent="0.2">
      <c r="D38" s="17"/>
      <c r="E38" s="16"/>
      <c r="F38" s="16"/>
      <c r="G38" s="45"/>
      <c r="H38" s="45"/>
      <c r="I38" s="11"/>
      <c r="J38" s="11"/>
      <c r="K38" s="11"/>
    </row>
    <row r="39" spans="2:11" x14ac:dyDescent="0.2">
      <c r="C39" s="5" t="s">
        <v>233</v>
      </c>
      <c r="D39" s="17">
        <v>0.14399999999999999</v>
      </c>
      <c r="E39" s="16">
        <v>0.14399999999999999</v>
      </c>
      <c r="F39" s="16">
        <v>0.14399999999999999</v>
      </c>
      <c r="G39" s="21" t="s">
        <v>214</v>
      </c>
      <c r="H39" s="21" t="s">
        <v>214</v>
      </c>
      <c r="I39" s="21" t="s">
        <v>214</v>
      </c>
      <c r="J39" s="21" t="s">
        <v>214</v>
      </c>
      <c r="K39" s="11"/>
    </row>
    <row r="40" spans="2:11" x14ac:dyDescent="0.2">
      <c r="C40" s="5" t="s">
        <v>232</v>
      </c>
      <c r="D40" s="17">
        <v>2.8839999999999999</v>
      </c>
      <c r="E40" s="16">
        <v>53.018999999999998</v>
      </c>
      <c r="F40" s="16">
        <v>67.013000000000005</v>
      </c>
      <c r="G40" s="45">
        <v>139.74299999999999</v>
      </c>
      <c r="H40" s="45">
        <v>130.46</v>
      </c>
      <c r="I40" s="44">
        <v>127.11</v>
      </c>
      <c r="J40" s="44">
        <v>130.012</v>
      </c>
      <c r="K40" s="11"/>
    </row>
    <row r="41" spans="2:11" x14ac:dyDescent="0.2">
      <c r="C41" s="5" t="s">
        <v>231</v>
      </c>
      <c r="D41" s="17">
        <v>99.614000000000004</v>
      </c>
      <c r="E41" s="16">
        <v>130.494</v>
      </c>
      <c r="F41" s="16">
        <v>38.838000000000001</v>
      </c>
      <c r="G41" s="45">
        <v>118.146</v>
      </c>
      <c r="H41" s="45">
        <v>132.22999999999999</v>
      </c>
      <c r="I41" s="44">
        <v>126.179</v>
      </c>
      <c r="J41" s="44">
        <v>120.497</v>
      </c>
      <c r="K41" s="11"/>
    </row>
    <row r="42" spans="2:11" x14ac:dyDescent="0.2">
      <c r="D42" s="17"/>
      <c r="E42" s="16"/>
      <c r="F42" s="16"/>
      <c r="G42" s="45"/>
      <c r="H42" s="45"/>
      <c r="I42" s="11"/>
      <c r="J42" s="11"/>
      <c r="K42" s="11"/>
    </row>
    <row r="43" spans="2:11" x14ac:dyDescent="0.2">
      <c r="C43" s="5" t="s">
        <v>230</v>
      </c>
      <c r="D43" s="26" t="s">
        <v>215</v>
      </c>
      <c r="E43" s="16">
        <v>120.839</v>
      </c>
      <c r="F43" s="16">
        <v>196.447</v>
      </c>
      <c r="G43" s="45">
        <v>146.678</v>
      </c>
      <c r="H43" s="45">
        <v>192.24100000000001</v>
      </c>
      <c r="I43" s="44">
        <v>212.875</v>
      </c>
      <c r="J43" s="44">
        <v>177.922</v>
      </c>
      <c r="K43" s="11"/>
    </row>
    <row r="44" spans="2:11" x14ac:dyDescent="0.2">
      <c r="C44" s="5" t="s">
        <v>14</v>
      </c>
      <c r="D44" s="17">
        <v>82.42</v>
      </c>
      <c r="E44" s="16">
        <v>59.017000000000003</v>
      </c>
      <c r="F44" s="16">
        <v>150.58600000000001</v>
      </c>
      <c r="G44" s="45">
        <v>148.99600000000001</v>
      </c>
      <c r="H44" s="45">
        <v>286.27800000000002</v>
      </c>
      <c r="I44" s="44">
        <v>363.82100000000003</v>
      </c>
      <c r="J44" s="44">
        <v>367.59399999999999</v>
      </c>
      <c r="K44" s="11"/>
    </row>
    <row r="45" spans="2:11" x14ac:dyDescent="0.2">
      <c r="D45" s="17"/>
      <c r="G45" s="11"/>
      <c r="H45" s="11"/>
      <c r="I45" s="11"/>
      <c r="J45" s="11"/>
      <c r="K45" s="11"/>
    </row>
    <row r="46" spans="2:11" x14ac:dyDescent="0.2">
      <c r="B46" s="1" t="s">
        <v>229</v>
      </c>
      <c r="C46" s="2"/>
      <c r="D46" s="35">
        <f>SUM(D48:D63)-D57-D58</f>
        <v>20816.483000300002</v>
      </c>
      <c r="E46" s="2">
        <f>SUM(E48:E63)-E57-E58</f>
        <v>30030.44</v>
      </c>
      <c r="F46" s="2">
        <f>SUM(F48:F63)-F57-F58</f>
        <v>34981.484000000004</v>
      </c>
      <c r="G46" s="47">
        <f>SUM(G48:G63)-G57-G58</f>
        <v>30924.240999999998</v>
      </c>
      <c r="H46" s="47">
        <f>SUM(H48:H63)-H57-H58</f>
        <v>25706.634000000002</v>
      </c>
      <c r="I46" s="47">
        <f>SUM(I48:I63)-I57-I58</f>
        <v>24938.579000000002</v>
      </c>
      <c r="J46" s="47">
        <f>SUM(J48:J63)-J57-J58</f>
        <v>21678.813999999998</v>
      </c>
      <c r="K46" s="11"/>
    </row>
    <row r="47" spans="2:11" x14ac:dyDescent="0.2">
      <c r="C47" s="5" t="s">
        <v>228</v>
      </c>
      <c r="D47" s="17"/>
      <c r="G47" s="11"/>
      <c r="H47" s="11"/>
      <c r="I47" s="11"/>
      <c r="J47" s="11"/>
      <c r="K47" s="11"/>
    </row>
    <row r="48" spans="2:11" x14ac:dyDescent="0.2">
      <c r="C48" s="5" t="s">
        <v>227</v>
      </c>
      <c r="D48" s="17">
        <v>5695.1</v>
      </c>
      <c r="E48" s="16">
        <v>5608.2579999999998</v>
      </c>
      <c r="F48" s="16">
        <v>9295.1980000000003</v>
      </c>
      <c r="G48" s="45">
        <v>6719.6660000000002</v>
      </c>
      <c r="H48" s="45">
        <v>4299.1750000000002</v>
      </c>
      <c r="I48" s="44">
        <v>3705.9</v>
      </c>
      <c r="J48" s="44">
        <v>2439.1309999999999</v>
      </c>
      <c r="K48" s="11"/>
    </row>
    <row r="49" spans="2:11" x14ac:dyDescent="0.2">
      <c r="C49" s="5" t="s">
        <v>226</v>
      </c>
      <c r="D49" s="17">
        <v>5688.933</v>
      </c>
      <c r="E49" s="16">
        <v>7535.3459999999995</v>
      </c>
      <c r="F49" s="16">
        <v>3039.6669999999999</v>
      </c>
      <c r="G49" s="45">
        <v>3301.32</v>
      </c>
      <c r="H49" s="45">
        <v>1471.0219999999999</v>
      </c>
      <c r="I49" s="44">
        <v>252.315</v>
      </c>
      <c r="J49" s="44">
        <v>1.948</v>
      </c>
      <c r="K49" s="11"/>
    </row>
    <row r="50" spans="2:11" x14ac:dyDescent="0.2">
      <c r="C50" s="5" t="s">
        <v>225</v>
      </c>
      <c r="D50" s="17">
        <v>3152.8470000000002</v>
      </c>
      <c r="E50" s="16">
        <v>3780.1790000000001</v>
      </c>
      <c r="F50" s="16">
        <v>4924.951</v>
      </c>
      <c r="G50" s="45">
        <v>5425.0789999999997</v>
      </c>
      <c r="H50" s="45">
        <v>3905.7869999999998</v>
      </c>
      <c r="I50" s="44">
        <v>3616.2809999999999</v>
      </c>
      <c r="J50" s="44">
        <v>3812.4349999999999</v>
      </c>
      <c r="K50" s="11"/>
    </row>
    <row r="51" spans="2:11" x14ac:dyDescent="0.2">
      <c r="D51" s="17"/>
      <c r="E51" s="16"/>
      <c r="F51" s="16"/>
      <c r="G51" s="45"/>
      <c r="H51" s="45"/>
      <c r="I51" s="11"/>
      <c r="J51" s="11"/>
      <c r="K51" s="11"/>
    </row>
    <row r="52" spans="2:11" x14ac:dyDescent="0.2">
      <c r="C52" s="5" t="s">
        <v>224</v>
      </c>
      <c r="D52" s="17">
        <v>9.9999999999999995E-8</v>
      </c>
      <c r="E52" s="16">
        <v>10.643000000000001</v>
      </c>
      <c r="F52" s="16">
        <v>22.736000000000001</v>
      </c>
      <c r="G52" s="45">
        <v>7.4160000000000004</v>
      </c>
      <c r="H52" s="45">
        <v>12.756</v>
      </c>
      <c r="I52" s="44">
        <v>18.634</v>
      </c>
      <c r="J52" s="44">
        <v>0.33</v>
      </c>
      <c r="K52" s="11"/>
    </row>
    <row r="53" spans="2:11" x14ac:dyDescent="0.2">
      <c r="C53" s="5" t="s">
        <v>223</v>
      </c>
      <c r="D53" s="17">
        <v>9.9999999999999995E-8</v>
      </c>
      <c r="E53" s="16">
        <v>370.29399999999998</v>
      </c>
      <c r="F53" s="21" t="s">
        <v>214</v>
      </c>
      <c r="G53" s="21" t="s">
        <v>214</v>
      </c>
      <c r="H53" s="21" t="s">
        <v>214</v>
      </c>
      <c r="I53" s="21" t="s">
        <v>214</v>
      </c>
      <c r="J53" s="21" t="s">
        <v>214</v>
      </c>
      <c r="K53" s="11"/>
    </row>
    <row r="54" spans="2:11" x14ac:dyDescent="0.2">
      <c r="C54" s="5" t="s">
        <v>222</v>
      </c>
      <c r="D54" s="17">
        <v>9.9999999999999995E-8</v>
      </c>
      <c r="E54" s="16">
        <v>2.7679999999999998</v>
      </c>
      <c r="F54" s="16">
        <v>29.847000000000001</v>
      </c>
      <c r="G54" s="45">
        <v>23.434999999999999</v>
      </c>
      <c r="H54" s="45">
        <v>17.262</v>
      </c>
      <c r="I54" s="44">
        <v>7.5919999999999996</v>
      </c>
      <c r="J54" s="46" t="s">
        <v>214</v>
      </c>
      <c r="K54" s="11"/>
    </row>
    <row r="55" spans="2:11" x14ac:dyDescent="0.2">
      <c r="D55" s="17"/>
      <c r="E55" s="16"/>
      <c r="F55" s="16"/>
      <c r="G55" s="45"/>
      <c r="H55" s="45"/>
      <c r="I55" s="11"/>
      <c r="J55" s="11"/>
      <c r="K55" s="11"/>
    </row>
    <row r="56" spans="2:11" x14ac:dyDescent="0.2">
      <c r="C56" s="5" t="s">
        <v>221</v>
      </c>
      <c r="D56" s="17">
        <v>6261.0150000000003</v>
      </c>
      <c r="E56" s="16">
        <v>4193.5129999999999</v>
      </c>
      <c r="F56" s="16">
        <v>3599.998</v>
      </c>
      <c r="G56" s="45">
        <v>3414.6610000000001</v>
      </c>
      <c r="H56" s="45">
        <v>3358.7660000000001</v>
      </c>
      <c r="I56" s="44">
        <v>3124.77</v>
      </c>
      <c r="J56" s="44">
        <v>2899.9180000000001</v>
      </c>
      <c r="K56" s="11"/>
    </row>
    <row r="57" spans="2:11" x14ac:dyDescent="0.2">
      <c r="C57" s="5" t="s">
        <v>220</v>
      </c>
      <c r="D57" s="17">
        <v>4880.902</v>
      </c>
      <c r="E57" s="16">
        <v>3268.752</v>
      </c>
      <c r="F57" s="16">
        <v>3132.7289999999998</v>
      </c>
      <c r="G57" s="45">
        <v>2926.3820000000001</v>
      </c>
      <c r="H57" s="45">
        <v>2880.7139999999999</v>
      </c>
      <c r="I57" s="44">
        <v>2804.6019999999999</v>
      </c>
      <c r="J57" s="44">
        <v>2538.7170000000001</v>
      </c>
      <c r="K57" s="11"/>
    </row>
    <row r="58" spans="2:11" x14ac:dyDescent="0.2">
      <c r="C58" s="5" t="s">
        <v>219</v>
      </c>
      <c r="D58" s="17">
        <v>1228.047</v>
      </c>
      <c r="E58" s="16">
        <v>689.44</v>
      </c>
      <c r="F58" s="16">
        <v>181.09200000000001</v>
      </c>
      <c r="G58" s="45">
        <v>139.52799999999999</v>
      </c>
      <c r="H58" s="45">
        <v>158.995</v>
      </c>
      <c r="I58" s="44">
        <v>145.596</v>
      </c>
      <c r="J58" s="44">
        <v>131.96100000000001</v>
      </c>
      <c r="K58" s="11"/>
    </row>
    <row r="59" spans="2:11" x14ac:dyDescent="0.2">
      <c r="D59" s="17"/>
      <c r="E59" s="16"/>
      <c r="F59" s="16"/>
      <c r="G59" s="45"/>
      <c r="H59" s="45"/>
      <c r="I59" s="11"/>
      <c r="J59" s="11"/>
      <c r="K59" s="11"/>
    </row>
    <row r="60" spans="2:11" x14ac:dyDescent="0.2">
      <c r="C60" s="5" t="s">
        <v>218</v>
      </c>
      <c r="D60" s="17">
        <v>18.588000000000001</v>
      </c>
      <c r="E60" s="16">
        <v>7.46</v>
      </c>
      <c r="F60" s="16">
        <v>8.8390000000000004</v>
      </c>
      <c r="G60" s="45">
        <v>13.462999999999999</v>
      </c>
      <c r="H60" s="45">
        <v>134.59</v>
      </c>
      <c r="I60" s="44">
        <v>7.7629999999999999</v>
      </c>
      <c r="J60" s="44">
        <v>7.657</v>
      </c>
      <c r="K60" s="11"/>
    </row>
    <row r="61" spans="2:11" x14ac:dyDescent="0.2">
      <c r="C61" s="5" t="s">
        <v>217</v>
      </c>
      <c r="D61" s="26" t="s">
        <v>215</v>
      </c>
      <c r="E61" s="16">
        <v>8521.9789999999994</v>
      </c>
      <c r="F61" s="16">
        <v>14060.248</v>
      </c>
      <c r="G61" s="45">
        <v>12019.200999999999</v>
      </c>
      <c r="H61" s="45">
        <v>12444.95</v>
      </c>
      <c r="I61" s="44">
        <v>14205.324000000001</v>
      </c>
      <c r="J61" s="44">
        <v>12514.21</v>
      </c>
      <c r="K61" s="11"/>
    </row>
    <row r="62" spans="2:11" x14ac:dyDescent="0.2">
      <c r="C62" s="5" t="s">
        <v>216</v>
      </c>
      <c r="D62" s="26" t="s">
        <v>214</v>
      </c>
      <c r="E62" s="21" t="s">
        <v>214</v>
      </c>
      <c r="F62" s="21" t="s">
        <v>214</v>
      </c>
      <c r="G62" s="21" t="s">
        <v>214</v>
      </c>
      <c r="H62" s="21" t="s">
        <v>214</v>
      </c>
      <c r="I62" s="21" t="s">
        <v>214</v>
      </c>
      <c r="J62" s="44">
        <v>3.1850000000000001</v>
      </c>
      <c r="K62" s="11"/>
    </row>
    <row r="63" spans="2:11" x14ac:dyDescent="0.2">
      <c r="C63" s="5" t="s">
        <v>14</v>
      </c>
      <c r="D63" s="26" t="s">
        <v>215</v>
      </c>
      <c r="E63" s="21" t="s">
        <v>214</v>
      </c>
      <c r="F63" s="21" t="s">
        <v>214</v>
      </c>
      <c r="G63" s="21" t="s">
        <v>214</v>
      </c>
      <c r="H63" s="21">
        <v>62.326000000000001</v>
      </c>
      <c r="I63" s="21" t="s">
        <v>214</v>
      </c>
      <c r="J63" s="21" t="s">
        <v>214</v>
      </c>
      <c r="K63" s="11"/>
    </row>
    <row r="64" spans="2:11" ht="18" thickBot="1" x14ac:dyDescent="0.25">
      <c r="B64" s="9"/>
      <c r="C64" s="9"/>
      <c r="D64" s="40"/>
      <c r="E64" s="43"/>
      <c r="F64" s="9"/>
      <c r="G64" s="43"/>
      <c r="H64" s="9"/>
      <c r="I64" s="9"/>
      <c r="J64" s="9"/>
      <c r="K64" s="11"/>
    </row>
    <row r="65" spans="1:11" x14ac:dyDescent="0.2">
      <c r="D65" s="5" t="s">
        <v>213</v>
      </c>
      <c r="K65" s="11"/>
    </row>
    <row r="66" spans="1:11" x14ac:dyDescent="0.2">
      <c r="D66" s="5" t="s">
        <v>212</v>
      </c>
      <c r="K66" s="11"/>
    </row>
    <row r="67" spans="1:11" x14ac:dyDescent="0.2">
      <c r="K67" s="11"/>
    </row>
    <row r="68" spans="1:11" x14ac:dyDescent="0.2">
      <c r="A68" s="11"/>
      <c r="B68" s="11"/>
      <c r="C68" s="11"/>
      <c r="D68" s="27" t="s">
        <v>211</v>
      </c>
      <c r="E68" s="11"/>
      <c r="F68" s="11"/>
      <c r="G68" s="11"/>
      <c r="H68" s="11"/>
      <c r="I68" s="11"/>
      <c r="J68" s="11"/>
      <c r="K68" s="11"/>
    </row>
    <row r="69" spans="1:11" x14ac:dyDescent="0.2">
      <c r="A69" s="5"/>
      <c r="K69" s="11"/>
    </row>
    <row r="70" spans="1:11" x14ac:dyDescent="0.2">
      <c r="K70" s="11"/>
    </row>
    <row r="71" spans="1:11" x14ac:dyDescent="0.2">
      <c r="K71" s="11"/>
    </row>
    <row r="72" spans="1:11" x14ac:dyDescent="0.2">
      <c r="K72" s="11"/>
    </row>
    <row r="73" spans="1:11" x14ac:dyDescent="0.2">
      <c r="K73" s="11"/>
    </row>
    <row r="74" spans="1:11" x14ac:dyDescent="0.2">
      <c r="K74" s="11"/>
    </row>
    <row r="75" spans="1:11" x14ac:dyDescent="0.2">
      <c r="K75" s="11"/>
    </row>
    <row r="76" spans="1:11" x14ac:dyDescent="0.2">
      <c r="K76" s="11"/>
    </row>
    <row r="77" spans="1:11" x14ac:dyDescent="0.2">
      <c r="K77" s="11"/>
    </row>
    <row r="78" spans="1:11" x14ac:dyDescent="0.2">
      <c r="K78" s="11"/>
    </row>
    <row r="79" spans="1:11" x14ac:dyDescent="0.2">
      <c r="K79" s="11"/>
    </row>
    <row r="80" spans="1:11" x14ac:dyDescent="0.2">
      <c r="K80" s="11"/>
    </row>
    <row r="81" spans="11:11" x14ac:dyDescent="0.2">
      <c r="K81" s="11"/>
    </row>
    <row r="82" spans="11:11" x14ac:dyDescent="0.2">
      <c r="K82" s="11"/>
    </row>
    <row r="83" spans="11:11" x14ac:dyDescent="0.2">
      <c r="K83" s="11"/>
    </row>
    <row r="84" spans="11:11" x14ac:dyDescent="0.2">
      <c r="K84" s="11"/>
    </row>
    <row r="85" spans="11:11" x14ac:dyDescent="0.2">
      <c r="K85" s="11"/>
    </row>
    <row r="86" spans="11:11" x14ac:dyDescent="0.2">
      <c r="K86" s="11"/>
    </row>
    <row r="87" spans="11:11" x14ac:dyDescent="0.2">
      <c r="K87" s="11"/>
    </row>
    <row r="88" spans="11:11" x14ac:dyDescent="0.2">
      <c r="K88" s="11"/>
    </row>
    <row r="89" spans="11:11" x14ac:dyDescent="0.2">
      <c r="K89" s="11"/>
    </row>
    <row r="90" spans="11:11" x14ac:dyDescent="0.2">
      <c r="K90" s="11"/>
    </row>
    <row r="91" spans="11:11" x14ac:dyDescent="0.2">
      <c r="K91" s="11"/>
    </row>
    <row r="92" spans="11:11" x14ac:dyDescent="0.2">
      <c r="K92" s="11"/>
    </row>
    <row r="93" spans="11:11" x14ac:dyDescent="0.2">
      <c r="K93" s="11"/>
    </row>
    <row r="94" spans="11:11" x14ac:dyDescent="0.2">
      <c r="K94" s="11"/>
    </row>
    <row r="95" spans="11:11" x14ac:dyDescent="0.2">
      <c r="K95" s="11"/>
    </row>
    <row r="96" spans="11:11" x14ac:dyDescent="0.2">
      <c r="K96" s="11"/>
    </row>
    <row r="97" spans="11:11" x14ac:dyDescent="0.2">
      <c r="K97" s="11"/>
    </row>
    <row r="98" spans="11:11" x14ac:dyDescent="0.2">
      <c r="K98" s="11"/>
    </row>
    <row r="99" spans="11:11" x14ac:dyDescent="0.2">
      <c r="K99" s="11"/>
    </row>
    <row r="100" spans="11:11" x14ac:dyDescent="0.2">
      <c r="K100" s="11"/>
    </row>
    <row r="101" spans="11:11" x14ac:dyDescent="0.2">
      <c r="K101" s="11"/>
    </row>
    <row r="102" spans="11:11" x14ac:dyDescent="0.2">
      <c r="K102" s="11"/>
    </row>
    <row r="103" spans="11:11" x14ac:dyDescent="0.2">
      <c r="K103" s="11"/>
    </row>
    <row r="104" spans="11:11" x14ac:dyDescent="0.2">
      <c r="K104" s="11"/>
    </row>
    <row r="105" spans="11:11" x14ac:dyDescent="0.2">
      <c r="K105" s="11"/>
    </row>
    <row r="106" spans="11:11" x14ac:dyDescent="0.2">
      <c r="K106" s="11"/>
    </row>
    <row r="107" spans="11:11" x14ac:dyDescent="0.2">
      <c r="K107" s="11"/>
    </row>
    <row r="108" spans="11:11" x14ac:dyDescent="0.2">
      <c r="K108" s="11"/>
    </row>
    <row r="109" spans="11:11" x14ac:dyDescent="0.2">
      <c r="K109" s="11"/>
    </row>
    <row r="110" spans="11:11" x14ac:dyDescent="0.2">
      <c r="K110" s="11"/>
    </row>
    <row r="111" spans="11:11" x14ac:dyDescent="0.2">
      <c r="K111" s="11"/>
    </row>
    <row r="112" spans="11:11" x14ac:dyDescent="0.2">
      <c r="K112" s="11"/>
    </row>
    <row r="113" spans="11:11" x14ac:dyDescent="0.2">
      <c r="K113" s="11"/>
    </row>
    <row r="114" spans="11:11" x14ac:dyDescent="0.2">
      <c r="K114" s="11"/>
    </row>
  </sheetData>
  <phoneticPr fontId="5"/>
  <pageMargins left="0.34" right="0.54" top="0.6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6"/>
  <sheetViews>
    <sheetView showGridLines="0" zoomScale="75" workbookViewId="0">
      <selection activeCell="B1" sqref="B1"/>
    </sheetView>
  </sheetViews>
  <sheetFormatPr defaultColWidth="9.69921875" defaultRowHeight="17.25" x14ac:dyDescent="0.2"/>
  <cols>
    <col min="1" max="1" width="10.69921875" style="8" customWidth="1"/>
    <col min="2" max="2" width="15.69921875" style="8" customWidth="1"/>
    <col min="3" max="6" width="10.69921875" style="8" customWidth="1"/>
    <col min="7" max="8" width="9.69921875" style="8"/>
    <col min="9" max="9" width="10.69921875" style="8" customWidth="1"/>
    <col min="10" max="11" width="8.69921875" style="8" customWidth="1"/>
    <col min="12" max="16384" width="9.69921875" style="8"/>
  </cols>
  <sheetData>
    <row r="1" spans="1:11" x14ac:dyDescent="0.2">
      <c r="A1" s="5"/>
    </row>
    <row r="6" spans="1:11" x14ac:dyDescent="0.2">
      <c r="E6" s="1" t="s">
        <v>306</v>
      </c>
    </row>
    <row r="7" spans="1:11" ht="18" thickBot="1" x14ac:dyDescent="0.25">
      <c r="B7" s="9"/>
      <c r="C7" s="9"/>
      <c r="D7" s="9"/>
      <c r="E7" s="9"/>
      <c r="F7" s="9"/>
      <c r="G7" s="9"/>
      <c r="H7" s="9"/>
      <c r="I7" s="9"/>
      <c r="J7" s="10" t="s">
        <v>305</v>
      </c>
      <c r="K7" s="9"/>
    </row>
    <row r="8" spans="1:11" x14ac:dyDescent="0.2">
      <c r="C8" s="14"/>
    </row>
    <row r="9" spans="1:11" x14ac:dyDescent="0.2">
      <c r="C9" s="14"/>
      <c r="D9" s="13"/>
      <c r="E9" s="24" t="s">
        <v>304</v>
      </c>
      <c r="F9" s="13"/>
      <c r="G9" s="13"/>
      <c r="H9" s="13"/>
      <c r="I9" s="13"/>
      <c r="J9" s="13"/>
      <c r="K9" s="13"/>
    </row>
    <row r="10" spans="1:11" x14ac:dyDescent="0.2">
      <c r="C10" s="12" t="s">
        <v>303</v>
      </c>
      <c r="D10" s="14"/>
      <c r="E10" s="14"/>
      <c r="F10" s="12" t="s">
        <v>297</v>
      </c>
      <c r="G10" s="14"/>
      <c r="H10" s="14"/>
      <c r="I10" s="14"/>
      <c r="J10" s="14"/>
      <c r="K10" s="12" t="s">
        <v>296</v>
      </c>
    </row>
    <row r="11" spans="1:11" x14ac:dyDescent="0.2">
      <c r="B11" s="13"/>
      <c r="C11" s="25"/>
      <c r="D11" s="23" t="s">
        <v>295</v>
      </c>
      <c r="E11" s="15" t="s">
        <v>294</v>
      </c>
      <c r="F11" s="23" t="s">
        <v>293</v>
      </c>
      <c r="G11" s="15" t="s">
        <v>292</v>
      </c>
      <c r="H11" s="15" t="s">
        <v>291</v>
      </c>
      <c r="I11" s="15" t="s">
        <v>290</v>
      </c>
      <c r="J11" s="51" t="s">
        <v>289</v>
      </c>
      <c r="K11" s="50" t="s">
        <v>14</v>
      </c>
    </row>
    <row r="12" spans="1:11" x14ac:dyDescent="0.2">
      <c r="C12" s="14"/>
    </row>
    <row r="13" spans="1:11" x14ac:dyDescent="0.2">
      <c r="B13" s="5" t="s">
        <v>288</v>
      </c>
      <c r="C13" s="6">
        <f>SUM(D13:K13)</f>
        <v>20524.199999999997</v>
      </c>
      <c r="D13" s="16">
        <f>20148-0.4</f>
        <v>20147.599999999999</v>
      </c>
      <c r="E13" s="21" t="s">
        <v>301</v>
      </c>
      <c r="F13" s="16">
        <f>249-0.4</f>
        <v>248.6</v>
      </c>
      <c r="G13" s="16">
        <v>124</v>
      </c>
      <c r="H13" s="21" t="s">
        <v>301</v>
      </c>
      <c r="I13" s="16">
        <v>0</v>
      </c>
      <c r="J13" s="16">
        <v>0</v>
      </c>
      <c r="K13" s="16">
        <v>4</v>
      </c>
    </row>
    <row r="14" spans="1:11" x14ac:dyDescent="0.2">
      <c r="B14" s="5" t="s">
        <v>287</v>
      </c>
      <c r="C14" s="6">
        <f>SUM(D14:K14)-3</f>
        <v>11903.02</v>
      </c>
      <c r="D14" s="16">
        <v>11473</v>
      </c>
      <c r="E14" s="21" t="s">
        <v>301</v>
      </c>
      <c r="F14" s="16">
        <v>197</v>
      </c>
      <c r="G14" s="16">
        <v>226</v>
      </c>
      <c r="H14" s="21" t="s">
        <v>301</v>
      </c>
      <c r="I14" s="16">
        <v>0.02</v>
      </c>
      <c r="J14" s="16">
        <v>0</v>
      </c>
      <c r="K14" s="16">
        <v>10</v>
      </c>
    </row>
    <row r="15" spans="1:11" x14ac:dyDescent="0.2">
      <c r="B15" s="5" t="s">
        <v>286</v>
      </c>
      <c r="C15" s="6">
        <f>SUM(D15:K15)</f>
        <v>10123.719999999999</v>
      </c>
      <c r="D15" s="16">
        <v>9156.4</v>
      </c>
      <c r="E15" s="21" t="s">
        <v>301</v>
      </c>
      <c r="F15" s="16">
        <v>333.3</v>
      </c>
      <c r="G15" s="16">
        <v>439</v>
      </c>
      <c r="H15" s="21" t="s">
        <v>301</v>
      </c>
      <c r="I15" s="16">
        <v>0.02</v>
      </c>
      <c r="J15" s="16">
        <v>0</v>
      </c>
      <c r="K15" s="16">
        <v>195</v>
      </c>
    </row>
    <row r="16" spans="1:11" x14ac:dyDescent="0.2">
      <c r="C16" s="14"/>
    </row>
    <row r="17" spans="2:11" x14ac:dyDescent="0.2">
      <c r="B17" s="5" t="s">
        <v>285</v>
      </c>
      <c r="C17" s="6">
        <f>SUM(D17:K17)</f>
        <v>10459</v>
      </c>
      <c r="D17" s="16">
        <v>9408</v>
      </c>
      <c r="E17" s="21" t="s">
        <v>301</v>
      </c>
      <c r="F17" s="16">
        <v>276</v>
      </c>
      <c r="G17" s="16">
        <v>593</v>
      </c>
      <c r="H17" s="21" t="s">
        <v>301</v>
      </c>
      <c r="I17" s="21" t="s">
        <v>301</v>
      </c>
      <c r="J17" s="21" t="s">
        <v>301</v>
      </c>
      <c r="K17" s="16">
        <v>182</v>
      </c>
    </row>
    <row r="18" spans="2:11" x14ac:dyDescent="0.2">
      <c r="B18" s="5" t="s">
        <v>284</v>
      </c>
      <c r="C18" s="6">
        <f>SUM(D18:K18)</f>
        <v>11881</v>
      </c>
      <c r="D18" s="16">
        <v>9936</v>
      </c>
      <c r="E18" s="21" t="s">
        <v>301</v>
      </c>
      <c r="F18" s="16">
        <v>326</v>
      </c>
      <c r="G18" s="16">
        <v>1394</v>
      </c>
      <c r="H18" s="21" t="s">
        <v>301</v>
      </c>
      <c r="I18" s="16">
        <v>3</v>
      </c>
      <c r="J18" s="21" t="s">
        <v>301</v>
      </c>
      <c r="K18" s="16">
        <v>222</v>
      </c>
    </row>
    <row r="19" spans="2:11" x14ac:dyDescent="0.2">
      <c r="B19" s="5" t="s">
        <v>283</v>
      </c>
      <c r="C19" s="6">
        <f>SUM(D19:K19)</f>
        <v>12376.2</v>
      </c>
      <c r="D19" s="16">
        <v>9337.6</v>
      </c>
      <c r="E19" s="21" t="s">
        <v>301</v>
      </c>
      <c r="F19" s="16">
        <v>318.60000000000002</v>
      </c>
      <c r="G19" s="16">
        <v>2359</v>
      </c>
      <c r="H19" s="21" t="s">
        <v>301</v>
      </c>
      <c r="I19" s="16">
        <v>4</v>
      </c>
      <c r="J19" s="21" t="s">
        <v>301</v>
      </c>
      <c r="K19" s="16">
        <v>357</v>
      </c>
    </row>
    <row r="20" spans="2:11" x14ac:dyDescent="0.2">
      <c r="C20" s="14"/>
    </row>
    <row r="21" spans="2:11" x14ac:dyDescent="0.2">
      <c r="B21" s="5" t="s">
        <v>282</v>
      </c>
      <c r="C21" s="6">
        <f>SUM(D21:K21)</f>
        <v>11302</v>
      </c>
      <c r="D21" s="16">
        <v>8633</v>
      </c>
      <c r="E21" s="21" t="s">
        <v>301</v>
      </c>
      <c r="F21" s="16">
        <v>77</v>
      </c>
      <c r="G21" s="16">
        <v>2166</v>
      </c>
      <c r="H21" s="21" t="s">
        <v>301</v>
      </c>
      <c r="I21" s="16">
        <v>5</v>
      </c>
      <c r="J21" s="21" t="s">
        <v>301</v>
      </c>
      <c r="K21" s="16">
        <v>421</v>
      </c>
    </row>
    <row r="22" spans="2:11" x14ac:dyDescent="0.2">
      <c r="B22" s="5" t="s">
        <v>281</v>
      </c>
      <c r="C22" s="6">
        <f>SUM(D22:K22)</f>
        <v>10774</v>
      </c>
      <c r="D22" s="16">
        <v>8050</v>
      </c>
      <c r="E22" s="21" t="s">
        <v>301</v>
      </c>
      <c r="F22" s="16">
        <v>316</v>
      </c>
      <c r="G22" s="16">
        <v>1862</v>
      </c>
      <c r="H22" s="21" t="s">
        <v>301</v>
      </c>
      <c r="I22" s="16">
        <v>5</v>
      </c>
      <c r="J22" s="21" t="s">
        <v>301</v>
      </c>
      <c r="K22" s="16">
        <v>541</v>
      </c>
    </row>
    <row r="23" spans="2:11" x14ac:dyDescent="0.2">
      <c r="B23" s="5" t="s">
        <v>280</v>
      </c>
      <c r="C23" s="6">
        <f>SUM(D23:K23)</f>
        <v>8624</v>
      </c>
      <c r="D23" s="16">
        <v>7612</v>
      </c>
      <c r="E23" s="21" t="s">
        <v>301</v>
      </c>
      <c r="F23" s="16">
        <v>86</v>
      </c>
      <c r="G23" s="16">
        <v>463</v>
      </c>
      <c r="H23" s="21" t="s">
        <v>301</v>
      </c>
      <c r="I23" s="16">
        <v>6</v>
      </c>
      <c r="J23" s="21" t="s">
        <v>301</v>
      </c>
      <c r="K23" s="16">
        <v>457</v>
      </c>
    </row>
    <row r="24" spans="2:11" x14ac:dyDescent="0.2">
      <c r="C24" s="14"/>
    </row>
    <row r="25" spans="2:11" x14ac:dyDescent="0.2">
      <c r="B25" s="5" t="s">
        <v>279</v>
      </c>
      <c r="C25" s="6">
        <f>SUM(D25:K25)</f>
        <v>8821.7000000000007</v>
      </c>
      <c r="D25" s="16">
        <v>7086</v>
      </c>
      <c r="E25" s="21" t="s">
        <v>301</v>
      </c>
      <c r="F25" s="16">
        <v>142.69999999999999</v>
      </c>
      <c r="G25" s="16">
        <v>346</v>
      </c>
      <c r="H25" s="21" t="s">
        <v>301</v>
      </c>
      <c r="I25" s="16">
        <v>14</v>
      </c>
      <c r="J25" s="21" t="s">
        <v>301</v>
      </c>
      <c r="K25" s="16">
        <v>1233</v>
      </c>
    </row>
    <row r="26" spans="2:11" x14ac:dyDescent="0.2">
      <c r="B26" s="5" t="s">
        <v>278</v>
      </c>
      <c r="C26" s="6">
        <f>SUM(D26:K26)</f>
        <v>9793</v>
      </c>
      <c r="D26" s="16">
        <v>7256</v>
      </c>
      <c r="E26" s="21" t="s">
        <v>301</v>
      </c>
      <c r="F26" s="16">
        <v>191</v>
      </c>
      <c r="G26" s="16">
        <v>443</v>
      </c>
      <c r="H26" s="21" t="s">
        <v>301</v>
      </c>
      <c r="I26" s="16">
        <v>11</v>
      </c>
      <c r="J26" s="21" t="s">
        <v>301</v>
      </c>
      <c r="K26" s="16">
        <v>1892</v>
      </c>
    </row>
    <row r="27" spans="2:11" x14ac:dyDescent="0.2">
      <c r="B27" s="5" t="s">
        <v>277</v>
      </c>
      <c r="C27" s="6">
        <f>SUM(D27:K27)</f>
        <v>11138</v>
      </c>
      <c r="D27" s="16">
        <v>7088</v>
      </c>
      <c r="E27" s="21" t="s">
        <v>301</v>
      </c>
      <c r="F27" s="16">
        <v>70</v>
      </c>
      <c r="G27" s="16">
        <v>963</v>
      </c>
      <c r="H27" s="21" t="s">
        <v>301</v>
      </c>
      <c r="I27" s="16">
        <v>21</v>
      </c>
      <c r="J27" s="21" t="s">
        <v>301</v>
      </c>
      <c r="K27" s="16">
        <v>2996</v>
      </c>
    </row>
    <row r="28" spans="2:11" x14ac:dyDescent="0.2">
      <c r="C28" s="14"/>
    </row>
    <row r="29" spans="2:11" x14ac:dyDescent="0.2">
      <c r="B29" s="5" t="s">
        <v>276</v>
      </c>
      <c r="C29" s="6">
        <f>SUM(D29:K29)+3</f>
        <v>14011</v>
      </c>
      <c r="D29" s="16">
        <v>9846</v>
      </c>
      <c r="E29" s="21" t="s">
        <v>301</v>
      </c>
      <c r="F29" s="16">
        <v>104</v>
      </c>
      <c r="G29" s="16">
        <v>794</v>
      </c>
      <c r="H29" s="21" t="s">
        <v>301</v>
      </c>
      <c r="I29" s="16">
        <v>37</v>
      </c>
      <c r="J29" s="21" t="s">
        <v>301</v>
      </c>
      <c r="K29" s="16">
        <v>3227</v>
      </c>
    </row>
    <row r="30" spans="2:11" x14ac:dyDescent="0.2">
      <c r="B30" s="5" t="s">
        <v>275</v>
      </c>
      <c r="C30" s="6">
        <f>SUM(D30:K30)</f>
        <v>13160</v>
      </c>
      <c r="D30" s="16">
        <v>7007</v>
      </c>
      <c r="E30" s="21" t="s">
        <v>301</v>
      </c>
      <c r="F30" s="16">
        <v>125</v>
      </c>
      <c r="G30" s="16">
        <v>1806</v>
      </c>
      <c r="H30" s="16">
        <v>65</v>
      </c>
      <c r="I30" s="16">
        <v>37</v>
      </c>
      <c r="J30" s="21" t="s">
        <v>301</v>
      </c>
      <c r="K30" s="16">
        <v>4120</v>
      </c>
    </row>
    <row r="31" spans="2:11" x14ac:dyDescent="0.2">
      <c r="B31" s="5" t="s">
        <v>274</v>
      </c>
      <c r="C31" s="6">
        <f>SUM(D31:K31)</f>
        <v>12655.599999999999</v>
      </c>
      <c r="D31" s="16">
        <f>6396+0.4</f>
        <v>6396.4</v>
      </c>
      <c r="E31" s="21" t="s">
        <v>301</v>
      </c>
      <c r="F31" s="16">
        <f>88+0.4</f>
        <v>88.4</v>
      </c>
      <c r="G31" s="16">
        <f>1895+0.4</f>
        <v>1895.4</v>
      </c>
      <c r="H31" s="16">
        <f>167+0.4</f>
        <v>167.4</v>
      </c>
      <c r="I31" s="16">
        <v>47</v>
      </c>
      <c r="J31" s="21" t="s">
        <v>301</v>
      </c>
      <c r="K31" s="16">
        <v>4061</v>
      </c>
    </row>
    <row r="32" spans="2:11" x14ac:dyDescent="0.2">
      <c r="C32" s="14"/>
    </row>
    <row r="33" spans="2:11" x14ac:dyDescent="0.2">
      <c r="B33" s="5" t="s">
        <v>302</v>
      </c>
      <c r="C33" s="6">
        <v>11773</v>
      </c>
      <c r="D33" s="16">
        <v>5570</v>
      </c>
      <c r="E33" s="21" t="s">
        <v>301</v>
      </c>
      <c r="F33" s="16">
        <v>66</v>
      </c>
      <c r="G33" s="21" t="s">
        <v>300</v>
      </c>
      <c r="H33" s="21" t="s">
        <v>300</v>
      </c>
      <c r="I33" s="21" t="s">
        <v>300</v>
      </c>
      <c r="J33" s="21" t="s">
        <v>300</v>
      </c>
      <c r="K33" s="16">
        <v>3342</v>
      </c>
    </row>
    <row r="34" spans="2:11" x14ac:dyDescent="0.2">
      <c r="B34" s="1" t="s">
        <v>272</v>
      </c>
      <c r="C34" s="35">
        <v>10025</v>
      </c>
      <c r="D34" s="20">
        <v>4864</v>
      </c>
      <c r="E34" s="21" t="s">
        <v>301</v>
      </c>
      <c r="F34" s="20">
        <v>162</v>
      </c>
      <c r="G34" s="52" t="s">
        <v>300</v>
      </c>
      <c r="H34" s="52" t="s">
        <v>300</v>
      </c>
      <c r="I34" s="52">
        <v>51</v>
      </c>
      <c r="J34" s="52" t="s">
        <v>300</v>
      </c>
      <c r="K34" s="20">
        <v>2485</v>
      </c>
    </row>
    <row r="35" spans="2:11" ht="18" thickBot="1" x14ac:dyDescent="0.25">
      <c r="B35" s="9"/>
      <c r="C35" s="19"/>
      <c r="D35" s="9"/>
      <c r="E35" s="9"/>
      <c r="F35" s="9"/>
      <c r="G35" s="9"/>
      <c r="H35" s="9"/>
      <c r="I35" s="9"/>
      <c r="J35" s="9"/>
      <c r="K35" s="9"/>
    </row>
    <row r="36" spans="2:11" x14ac:dyDescent="0.2">
      <c r="C36" s="14"/>
    </row>
    <row r="37" spans="2:11" x14ac:dyDescent="0.2">
      <c r="C37" s="14"/>
      <c r="D37" s="13"/>
      <c r="E37" s="24" t="s">
        <v>299</v>
      </c>
      <c r="F37" s="13"/>
      <c r="G37" s="13"/>
      <c r="H37" s="13"/>
      <c r="I37" s="13"/>
      <c r="J37" s="13"/>
      <c r="K37" s="13"/>
    </row>
    <row r="38" spans="2:11" x14ac:dyDescent="0.2">
      <c r="C38" s="12" t="s">
        <v>298</v>
      </c>
      <c r="D38" s="14"/>
      <c r="E38" s="14"/>
      <c r="F38" s="12" t="s">
        <v>297</v>
      </c>
      <c r="G38" s="14"/>
      <c r="H38" s="14"/>
      <c r="I38" s="14"/>
      <c r="J38" s="14"/>
      <c r="K38" s="12" t="s">
        <v>296</v>
      </c>
    </row>
    <row r="39" spans="2:11" x14ac:dyDescent="0.2">
      <c r="B39" s="13"/>
      <c r="C39" s="25"/>
      <c r="D39" s="23" t="s">
        <v>295</v>
      </c>
      <c r="E39" s="15" t="s">
        <v>294</v>
      </c>
      <c r="F39" s="23" t="s">
        <v>293</v>
      </c>
      <c r="G39" s="15" t="s">
        <v>292</v>
      </c>
      <c r="H39" s="15" t="s">
        <v>291</v>
      </c>
      <c r="I39" s="15" t="s">
        <v>290</v>
      </c>
      <c r="J39" s="51" t="s">
        <v>289</v>
      </c>
      <c r="K39" s="50" t="s">
        <v>14</v>
      </c>
    </row>
    <row r="40" spans="2:11" x14ac:dyDescent="0.2">
      <c r="C40" s="14"/>
    </row>
    <row r="41" spans="2:11" x14ac:dyDescent="0.2">
      <c r="B41" s="5" t="s">
        <v>288</v>
      </c>
      <c r="C41" s="6">
        <f>SUM(D41:K41)</f>
        <v>55543.199999999997</v>
      </c>
      <c r="D41" s="16">
        <f>17765-0.4</f>
        <v>17764.599999999999</v>
      </c>
      <c r="E41" s="16">
        <f>71-0.4</f>
        <v>70.599999999999994</v>
      </c>
      <c r="F41" s="16">
        <v>448</v>
      </c>
      <c r="G41" s="16">
        <v>503</v>
      </c>
      <c r="H41" s="16">
        <v>35269</v>
      </c>
      <c r="I41" s="16">
        <v>316</v>
      </c>
      <c r="J41" s="16">
        <v>968</v>
      </c>
      <c r="K41" s="16">
        <v>204</v>
      </c>
    </row>
    <row r="42" spans="2:11" x14ac:dyDescent="0.2">
      <c r="B42" s="5" t="s">
        <v>287</v>
      </c>
      <c r="C42" s="6">
        <f>SUM(D42:K42)</f>
        <v>61567</v>
      </c>
      <c r="D42" s="16">
        <v>17961</v>
      </c>
      <c r="E42" s="16">
        <v>74</v>
      </c>
      <c r="F42" s="16">
        <v>482</v>
      </c>
      <c r="G42" s="16">
        <v>754</v>
      </c>
      <c r="H42" s="16">
        <v>40027</v>
      </c>
      <c r="I42" s="16">
        <v>294</v>
      </c>
      <c r="J42" s="16">
        <v>1805</v>
      </c>
      <c r="K42" s="16">
        <v>170</v>
      </c>
    </row>
    <row r="43" spans="2:11" x14ac:dyDescent="0.2">
      <c r="B43" s="5" t="s">
        <v>286</v>
      </c>
      <c r="C43" s="6">
        <f>SUM(D43:K43)</f>
        <v>65049.399999999994</v>
      </c>
      <c r="D43" s="16">
        <v>15195</v>
      </c>
      <c r="E43" s="16">
        <v>91</v>
      </c>
      <c r="F43" s="16">
        <v>1984</v>
      </c>
      <c r="G43" s="16">
        <v>913</v>
      </c>
      <c r="H43" s="16">
        <f>44304-0.4</f>
        <v>44303.6</v>
      </c>
      <c r="I43" s="16">
        <f>286-0.4</f>
        <v>285.60000000000002</v>
      </c>
      <c r="J43" s="16">
        <f>1521-0.4</f>
        <v>1520.6</v>
      </c>
      <c r="K43" s="16">
        <v>756.6</v>
      </c>
    </row>
    <row r="44" spans="2:11" x14ac:dyDescent="0.2">
      <c r="C44" s="14"/>
    </row>
    <row r="45" spans="2:11" x14ac:dyDescent="0.2">
      <c r="B45" s="5" t="s">
        <v>285</v>
      </c>
      <c r="C45" s="6">
        <f>SUM(D45:K45)</f>
        <v>67540.600000000006</v>
      </c>
      <c r="D45" s="16">
        <f>15657+0.4</f>
        <v>15657.4</v>
      </c>
      <c r="E45" s="16">
        <f>105+0.4</f>
        <v>105.4</v>
      </c>
      <c r="F45" s="16">
        <f>1729+0.4</f>
        <v>1729.4</v>
      </c>
      <c r="G45" s="16">
        <f>892+0.4</f>
        <v>892.4</v>
      </c>
      <c r="H45" s="16">
        <v>46530</v>
      </c>
      <c r="I45" s="16">
        <v>298</v>
      </c>
      <c r="J45" s="16">
        <v>1627</v>
      </c>
      <c r="K45" s="16">
        <v>701</v>
      </c>
    </row>
    <row r="46" spans="2:11" x14ac:dyDescent="0.2">
      <c r="B46" s="5" t="s">
        <v>284</v>
      </c>
      <c r="C46" s="6">
        <f>SUM(D46:K46)</f>
        <v>68301.2</v>
      </c>
      <c r="D46" s="16">
        <f>15499-0.4</f>
        <v>15498.6</v>
      </c>
      <c r="E46" s="16">
        <f>110-0.4</f>
        <v>109.6</v>
      </c>
      <c r="F46" s="16">
        <v>1508</v>
      </c>
      <c r="G46" s="16">
        <v>921</v>
      </c>
      <c r="H46" s="16">
        <v>47606</v>
      </c>
      <c r="I46" s="16">
        <v>358</v>
      </c>
      <c r="J46" s="16">
        <v>1610</v>
      </c>
      <c r="K46" s="16">
        <v>690</v>
      </c>
    </row>
    <row r="47" spans="2:11" x14ac:dyDescent="0.2">
      <c r="B47" s="5" t="s">
        <v>283</v>
      </c>
      <c r="C47" s="6">
        <f>SUM(D47:K47)-1</f>
        <v>70809.800000000017</v>
      </c>
      <c r="D47" s="16">
        <f>15627-0.4</f>
        <v>15626.6</v>
      </c>
      <c r="E47" s="16">
        <f>117-0.4</f>
        <v>116.6</v>
      </c>
      <c r="F47" s="16">
        <f>1561-0.4</f>
        <v>1560.6</v>
      </c>
      <c r="G47" s="16">
        <f>935-0.4</f>
        <v>934.6</v>
      </c>
      <c r="H47" s="16">
        <f>49840-0.4</f>
        <v>49839.6</v>
      </c>
      <c r="I47" s="16">
        <f>403-0.4</f>
        <v>402.6</v>
      </c>
      <c r="J47" s="16">
        <f>1634-0.4</f>
        <v>1633.6</v>
      </c>
      <c r="K47" s="16">
        <v>696.6</v>
      </c>
    </row>
    <row r="48" spans="2:11" x14ac:dyDescent="0.2">
      <c r="C48" s="14"/>
    </row>
    <row r="49" spans="2:11" x14ac:dyDescent="0.2">
      <c r="B49" s="5" t="s">
        <v>282</v>
      </c>
      <c r="C49" s="6">
        <f>SUM(D49:K49)</f>
        <v>73701.2</v>
      </c>
      <c r="D49" s="16">
        <f>14984-0.4</f>
        <v>14983.6</v>
      </c>
      <c r="E49" s="16">
        <f>116-0.4</f>
        <v>115.6</v>
      </c>
      <c r="F49" s="16">
        <v>1304</v>
      </c>
      <c r="G49" s="16">
        <v>938</v>
      </c>
      <c r="H49" s="16">
        <v>53428</v>
      </c>
      <c r="I49" s="16">
        <v>461</v>
      </c>
      <c r="J49" s="16">
        <v>1610</v>
      </c>
      <c r="K49" s="16">
        <v>861</v>
      </c>
    </row>
    <row r="50" spans="2:11" x14ac:dyDescent="0.2">
      <c r="B50" s="5" t="s">
        <v>281</v>
      </c>
      <c r="C50" s="6">
        <f>SUM(D50:K50)</f>
        <v>76897.600000000006</v>
      </c>
      <c r="D50" s="16">
        <f>15051+0.4</f>
        <v>15051.4</v>
      </c>
      <c r="E50" s="16">
        <f>122+0.4</f>
        <v>122.4</v>
      </c>
      <c r="F50" s="16">
        <f>1382+0.4</f>
        <v>1382.4</v>
      </c>
      <c r="G50" s="16">
        <f>952+0.4</f>
        <v>952.4</v>
      </c>
      <c r="H50" s="16">
        <v>56180</v>
      </c>
      <c r="I50" s="16">
        <v>476</v>
      </c>
      <c r="J50" s="16">
        <v>1574</v>
      </c>
      <c r="K50" s="16">
        <v>1159</v>
      </c>
    </row>
    <row r="51" spans="2:11" x14ac:dyDescent="0.2">
      <c r="B51" s="5" t="s">
        <v>280</v>
      </c>
      <c r="C51" s="6">
        <f>SUM(D51:K51)</f>
        <v>78716.2</v>
      </c>
      <c r="D51" s="16">
        <f>14784-0.4</f>
        <v>14783.6</v>
      </c>
      <c r="E51" s="16">
        <f>136-0.4</f>
        <v>135.6</v>
      </c>
      <c r="F51" s="16">
        <v>1346</v>
      </c>
      <c r="G51" s="16">
        <v>1010</v>
      </c>
      <c r="H51" s="16">
        <v>58311</v>
      </c>
      <c r="I51" s="16">
        <v>443</v>
      </c>
      <c r="J51" s="16">
        <v>1471</v>
      </c>
      <c r="K51" s="16">
        <v>1216</v>
      </c>
    </row>
    <row r="52" spans="2:11" x14ac:dyDescent="0.2">
      <c r="C52" s="14"/>
    </row>
    <row r="53" spans="2:11" x14ac:dyDescent="0.2">
      <c r="B53" s="5" t="s">
        <v>279</v>
      </c>
      <c r="C53" s="6">
        <f>SUM(D53:K53)</f>
        <v>78465.8</v>
      </c>
      <c r="D53" s="16">
        <f>14666+0.4</f>
        <v>14666.4</v>
      </c>
      <c r="E53" s="16">
        <f>162+0.4</f>
        <v>162.4</v>
      </c>
      <c r="F53" s="16">
        <v>1406</v>
      </c>
      <c r="G53" s="16">
        <v>987</v>
      </c>
      <c r="H53" s="16">
        <v>58200</v>
      </c>
      <c r="I53" s="16">
        <v>420</v>
      </c>
      <c r="J53" s="16">
        <v>1398</v>
      </c>
      <c r="K53" s="16">
        <v>1226</v>
      </c>
    </row>
    <row r="54" spans="2:11" x14ac:dyDescent="0.2">
      <c r="B54" s="5" t="s">
        <v>278</v>
      </c>
      <c r="C54" s="6">
        <f>SUM(D54:K54)+3</f>
        <v>80938</v>
      </c>
      <c r="D54" s="16">
        <v>14999</v>
      </c>
      <c r="E54" s="16">
        <v>253</v>
      </c>
      <c r="F54" s="16">
        <v>1675</v>
      </c>
      <c r="G54" s="16">
        <v>1336</v>
      </c>
      <c r="H54" s="16">
        <v>59197</v>
      </c>
      <c r="I54" s="16">
        <v>523</v>
      </c>
      <c r="J54" s="16">
        <v>1521</v>
      </c>
      <c r="K54" s="16">
        <v>1431</v>
      </c>
    </row>
    <row r="55" spans="2:11" x14ac:dyDescent="0.2">
      <c r="B55" s="5" t="s">
        <v>277</v>
      </c>
      <c r="C55" s="6">
        <f>SUM(D55:K55)</f>
        <v>84262</v>
      </c>
      <c r="D55" s="16">
        <v>13726</v>
      </c>
      <c r="E55" s="16">
        <v>309</v>
      </c>
      <c r="F55" s="16">
        <v>1797</v>
      </c>
      <c r="G55" s="16">
        <v>1093</v>
      </c>
      <c r="H55" s="16">
        <v>63469</v>
      </c>
      <c r="I55" s="16">
        <v>577</v>
      </c>
      <c r="J55" s="16">
        <v>1384</v>
      </c>
      <c r="K55" s="16">
        <v>1907</v>
      </c>
    </row>
    <row r="56" spans="2:11" x14ac:dyDescent="0.2">
      <c r="C56" s="14"/>
    </row>
    <row r="57" spans="2:11" x14ac:dyDescent="0.2">
      <c r="B57" s="5" t="s">
        <v>276</v>
      </c>
      <c r="C57" s="6">
        <f>SUM(D57:K57)+2</f>
        <v>84834</v>
      </c>
      <c r="D57" s="16">
        <v>13976</v>
      </c>
      <c r="E57" s="16">
        <v>404</v>
      </c>
      <c r="F57" s="16">
        <v>2125</v>
      </c>
      <c r="G57" s="16">
        <v>1610</v>
      </c>
      <c r="H57" s="16">
        <v>59614</v>
      </c>
      <c r="I57" s="16">
        <v>761</v>
      </c>
      <c r="J57" s="16">
        <v>1497</v>
      </c>
      <c r="K57" s="16">
        <v>4845</v>
      </c>
    </row>
    <row r="58" spans="2:11" x14ac:dyDescent="0.2">
      <c r="B58" s="5" t="s">
        <v>275</v>
      </c>
      <c r="C58" s="6">
        <f>SUM(D58:K58)</f>
        <v>87932.800000000003</v>
      </c>
      <c r="D58" s="16">
        <v>13946.4</v>
      </c>
      <c r="E58" s="16">
        <v>447.4</v>
      </c>
      <c r="F58" s="16">
        <v>2324</v>
      </c>
      <c r="G58" s="16">
        <v>1253</v>
      </c>
      <c r="H58" s="16">
        <v>63164</v>
      </c>
      <c r="I58" s="16">
        <v>739</v>
      </c>
      <c r="J58" s="16">
        <v>1300</v>
      </c>
      <c r="K58" s="16">
        <v>4759</v>
      </c>
    </row>
    <row r="59" spans="2:11" x14ac:dyDescent="0.2">
      <c r="B59" s="5" t="s">
        <v>274</v>
      </c>
      <c r="C59" s="6">
        <f>SUM(D59:K59)</f>
        <v>81734</v>
      </c>
      <c r="D59" s="16">
        <v>12360</v>
      </c>
      <c r="E59" s="16">
        <v>423</v>
      </c>
      <c r="F59" s="16">
        <v>2516</v>
      </c>
      <c r="G59" s="16">
        <v>1171</v>
      </c>
      <c r="H59" s="16">
        <v>57104</v>
      </c>
      <c r="I59" s="16">
        <v>999</v>
      </c>
      <c r="J59" s="16">
        <v>1181</v>
      </c>
      <c r="K59" s="16">
        <v>5980</v>
      </c>
    </row>
    <row r="60" spans="2:11" x14ac:dyDescent="0.2">
      <c r="C60" s="14"/>
    </row>
    <row r="61" spans="2:11" x14ac:dyDescent="0.2">
      <c r="B61" s="5" t="s">
        <v>273</v>
      </c>
      <c r="C61" s="6">
        <f>SUM(D61:K61)</f>
        <v>84482</v>
      </c>
      <c r="D61" s="16">
        <v>11595</v>
      </c>
      <c r="E61" s="16">
        <v>450</v>
      </c>
      <c r="F61" s="16">
        <v>2619</v>
      </c>
      <c r="G61" s="16">
        <v>1220</v>
      </c>
      <c r="H61" s="16">
        <v>55510</v>
      </c>
      <c r="I61" s="16">
        <v>1499</v>
      </c>
      <c r="J61" s="16">
        <v>1214</v>
      </c>
      <c r="K61" s="16">
        <v>10375</v>
      </c>
    </row>
    <row r="62" spans="2:11" x14ac:dyDescent="0.2">
      <c r="B62" s="1" t="s">
        <v>272</v>
      </c>
      <c r="C62" s="35">
        <f>SUM(D62:K62)</f>
        <v>83311</v>
      </c>
      <c r="D62" s="20">
        <v>11224</v>
      </c>
      <c r="E62" s="20">
        <v>439</v>
      </c>
      <c r="F62" s="20">
        <v>2995</v>
      </c>
      <c r="G62" s="20">
        <v>1228</v>
      </c>
      <c r="H62" s="20">
        <v>51234</v>
      </c>
      <c r="I62" s="20">
        <v>1346</v>
      </c>
      <c r="J62" s="20">
        <v>1133</v>
      </c>
      <c r="K62" s="20">
        <v>13712</v>
      </c>
    </row>
    <row r="63" spans="2:11" ht="18" thickBot="1" x14ac:dyDescent="0.25">
      <c r="B63" s="9"/>
      <c r="C63" s="19"/>
      <c r="D63" s="9"/>
      <c r="E63" s="9"/>
      <c r="F63" s="9"/>
      <c r="G63" s="9"/>
      <c r="H63" s="9"/>
      <c r="I63" s="9"/>
      <c r="J63" s="9"/>
      <c r="K63" s="9"/>
    </row>
    <row r="64" spans="2:11" x14ac:dyDescent="0.2">
      <c r="C64" s="5" t="s">
        <v>271</v>
      </c>
    </row>
    <row r="65" spans="1:3" x14ac:dyDescent="0.2">
      <c r="C65" s="5" t="s">
        <v>270</v>
      </c>
    </row>
    <row r="66" spans="1:3" x14ac:dyDescent="0.2">
      <c r="A66" s="5"/>
    </row>
  </sheetData>
  <phoneticPr fontId="5"/>
  <pageMargins left="0.34" right="0.49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/>
  <dimension ref="A1:M142"/>
  <sheetViews>
    <sheetView showGridLines="0" topLeftCell="A43" zoomScale="75" zoomScaleNormal="100" workbookViewId="0">
      <selection activeCell="B109" sqref="B109"/>
    </sheetView>
  </sheetViews>
  <sheetFormatPr defaultColWidth="9.69921875" defaultRowHeight="17.25" x14ac:dyDescent="0.2"/>
  <cols>
    <col min="1" max="1" width="10.69921875" style="53" customWidth="1"/>
    <col min="2" max="2" width="7.69921875" style="53" customWidth="1"/>
    <col min="3" max="3" width="9.69921875" style="53"/>
    <col min="4" max="4" width="10.69921875" style="53" customWidth="1"/>
    <col min="5" max="16384" width="9.69921875" style="53"/>
  </cols>
  <sheetData>
    <row r="1" spans="1:13" x14ac:dyDescent="0.2">
      <c r="A1" s="55"/>
    </row>
    <row r="6" spans="1:13" x14ac:dyDescent="0.2">
      <c r="F6" s="63" t="s">
        <v>373</v>
      </c>
    </row>
    <row r="7" spans="1:13" ht="18" thickBot="1" x14ac:dyDescent="0.25">
      <c r="B7" s="79"/>
      <c r="C7" s="79"/>
      <c r="D7" s="79"/>
      <c r="E7" s="79"/>
      <c r="F7" s="79"/>
      <c r="G7" s="79"/>
      <c r="H7" s="79"/>
      <c r="I7" s="79"/>
      <c r="J7" s="80" t="s">
        <v>372</v>
      </c>
      <c r="K7" s="86"/>
      <c r="L7" s="79"/>
    </row>
    <row r="8" spans="1:13" x14ac:dyDescent="0.2">
      <c r="D8" s="62"/>
      <c r="E8" s="69"/>
      <c r="F8" s="69"/>
      <c r="G8" s="69"/>
      <c r="H8" s="69"/>
      <c r="I8" s="69"/>
      <c r="J8" s="69"/>
      <c r="K8" s="69"/>
      <c r="L8" s="69"/>
    </row>
    <row r="9" spans="1:13" x14ac:dyDescent="0.2">
      <c r="D9" s="78" t="s">
        <v>371</v>
      </c>
      <c r="E9" s="62"/>
      <c r="F9" s="62"/>
      <c r="G9" s="69"/>
      <c r="H9" s="69"/>
      <c r="I9" s="69"/>
      <c r="J9" s="69"/>
      <c r="K9" s="69"/>
      <c r="L9" s="69"/>
      <c r="M9" s="74"/>
    </row>
    <row r="10" spans="1:13" x14ac:dyDescent="0.2">
      <c r="D10" s="62"/>
      <c r="E10" s="78" t="s">
        <v>370</v>
      </c>
      <c r="F10" s="78" t="s">
        <v>369</v>
      </c>
      <c r="G10" s="62"/>
      <c r="H10" s="78" t="s">
        <v>368</v>
      </c>
      <c r="I10" s="78" t="s">
        <v>367</v>
      </c>
      <c r="J10" s="78" t="s">
        <v>366</v>
      </c>
      <c r="K10" s="78" t="s">
        <v>365</v>
      </c>
      <c r="L10" s="78" t="s">
        <v>364</v>
      </c>
      <c r="M10" s="74"/>
    </row>
    <row r="11" spans="1:13" x14ac:dyDescent="0.2">
      <c r="B11" s="69"/>
      <c r="C11" s="69"/>
      <c r="D11" s="75"/>
      <c r="E11" s="75"/>
      <c r="F11" s="75"/>
      <c r="G11" s="76" t="s">
        <v>363</v>
      </c>
      <c r="H11" s="76" t="s">
        <v>362</v>
      </c>
      <c r="I11" s="76" t="s">
        <v>361</v>
      </c>
      <c r="J11" s="76" t="s">
        <v>360</v>
      </c>
      <c r="K11" s="76" t="s">
        <v>360</v>
      </c>
      <c r="L11" s="76" t="s">
        <v>360</v>
      </c>
      <c r="M11" s="74"/>
    </row>
    <row r="12" spans="1:13" x14ac:dyDescent="0.2">
      <c r="D12" s="62"/>
    </row>
    <row r="13" spans="1:13" x14ac:dyDescent="0.2">
      <c r="B13" s="70" t="s">
        <v>340</v>
      </c>
      <c r="C13" s="69"/>
      <c r="D13" s="85">
        <f>E13+F13</f>
        <v>230</v>
      </c>
      <c r="E13" s="72">
        <v>3</v>
      </c>
      <c r="F13" s="71">
        <f>SUM(G13:L13,D84:K84)</f>
        <v>227</v>
      </c>
      <c r="G13" s="72">
        <v>24</v>
      </c>
      <c r="H13" s="72">
        <v>4</v>
      </c>
      <c r="I13" s="72">
        <v>13</v>
      </c>
      <c r="J13" s="72">
        <v>28</v>
      </c>
      <c r="K13" s="72">
        <v>13</v>
      </c>
      <c r="L13" s="72">
        <v>1</v>
      </c>
    </row>
    <row r="14" spans="1:13" x14ac:dyDescent="0.2">
      <c r="B14" s="70" t="s">
        <v>339</v>
      </c>
      <c r="C14" s="69"/>
      <c r="D14" s="84">
        <f>E14+F14</f>
        <v>10641.400000000001</v>
      </c>
      <c r="E14" s="83">
        <v>641.4</v>
      </c>
      <c r="F14" s="66">
        <f>SUM(G14:L14,D85:K85)</f>
        <v>10000.000000000002</v>
      </c>
      <c r="G14" s="83">
        <v>1998.2</v>
      </c>
      <c r="H14" s="83">
        <v>60.2</v>
      </c>
      <c r="I14" s="83">
        <v>519.4</v>
      </c>
      <c r="J14" s="83">
        <v>1301.2</v>
      </c>
      <c r="K14" s="83">
        <v>261.3</v>
      </c>
      <c r="L14" s="83">
        <v>10.5</v>
      </c>
    </row>
    <row r="15" spans="1:13" x14ac:dyDescent="0.2">
      <c r="D15" s="60"/>
      <c r="E15" s="59"/>
      <c r="F15" s="59"/>
      <c r="G15" s="59"/>
      <c r="H15" s="63" t="s">
        <v>338</v>
      </c>
      <c r="I15" s="59"/>
      <c r="J15" s="59"/>
      <c r="K15" s="59"/>
      <c r="L15" s="59"/>
    </row>
    <row r="16" spans="1:13" x14ac:dyDescent="0.2">
      <c r="B16" s="55" t="s">
        <v>337</v>
      </c>
      <c r="D16" s="60">
        <v>103.20833333333333</v>
      </c>
      <c r="E16" s="59">
        <v>89.283333333333331</v>
      </c>
      <c r="F16" s="59">
        <v>104.11666666666667</v>
      </c>
      <c r="G16" s="59">
        <v>100.69166666666666</v>
      </c>
      <c r="H16" s="59">
        <v>136.57499999999999</v>
      </c>
      <c r="I16" s="59">
        <v>122.10833333333333</v>
      </c>
      <c r="J16" s="59">
        <v>101.375</v>
      </c>
      <c r="K16" s="59">
        <v>76.666666666666671</v>
      </c>
      <c r="L16" s="81" t="s">
        <v>112</v>
      </c>
    </row>
    <row r="17" spans="2:12" x14ac:dyDescent="0.2">
      <c r="B17" s="55" t="s">
        <v>336</v>
      </c>
      <c r="D17" s="60">
        <v>100.78333333333333</v>
      </c>
      <c r="E17" s="59">
        <v>100.01666666666667</v>
      </c>
      <c r="F17" s="59">
        <v>100.83333333333333</v>
      </c>
      <c r="G17" s="59">
        <v>95.216666666666669</v>
      </c>
      <c r="H17" s="59">
        <v>112.04166666666667</v>
      </c>
      <c r="I17" s="59">
        <v>94.141666666666666</v>
      </c>
      <c r="J17" s="59">
        <v>105.95833333333333</v>
      </c>
      <c r="K17" s="59">
        <v>93.6</v>
      </c>
      <c r="L17" s="81" t="s">
        <v>112</v>
      </c>
    </row>
    <row r="18" spans="2:12" x14ac:dyDescent="0.2">
      <c r="B18" s="55" t="s">
        <v>335</v>
      </c>
      <c r="D18" s="60">
        <v>100</v>
      </c>
      <c r="E18" s="59">
        <v>99.99166666666666</v>
      </c>
      <c r="F18" s="59">
        <v>99.99166666666666</v>
      </c>
      <c r="G18" s="59">
        <v>100</v>
      </c>
      <c r="H18" s="59">
        <v>99.99166666666666</v>
      </c>
      <c r="I18" s="59">
        <v>99.974999999999994</v>
      </c>
      <c r="J18" s="59">
        <v>100.00833333333334</v>
      </c>
      <c r="K18" s="59">
        <v>100</v>
      </c>
      <c r="L18" s="81" t="s">
        <v>112</v>
      </c>
    </row>
    <row r="19" spans="2:12" x14ac:dyDescent="0.2">
      <c r="B19" s="55" t="s">
        <v>334</v>
      </c>
      <c r="D19" s="60">
        <v>99.25833333333334</v>
      </c>
      <c r="E19" s="59">
        <v>99.208333333333329</v>
      </c>
      <c r="F19" s="59">
        <v>99.275000000000006</v>
      </c>
      <c r="G19" s="59">
        <v>89.724999999999994</v>
      </c>
      <c r="H19" s="59">
        <v>98.075000000000003</v>
      </c>
      <c r="I19" s="59">
        <v>101.325</v>
      </c>
      <c r="J19" s="59">
        <v>116.50833333333334</v>
      </c>
      <c r="K19" s="59">
        <v>143.30833333333334</v>
      </c>
      <c r="L19" s="81" t="s">
        <v>112</v>
      </c>
    </row>
    <row r="20" spans="2:12" x14ac:dyDescent="0.2">
      <c r="B20" s="55"/>
      <c r="D20" s="60"/>
      <c r="E20" s="59"/>
      <c r="F20" s="59"/>
      <c r="G20" s="59"/>
      <c r="H20" s="59"/>
      <c r="I20" s="59"/>
      <c r="J20" s="59"/>
      <c r="K20" s="59"/>
      <c r="L20" s="81"/>
    </row>
    <row r="21" spans="2:12" x14ac:dyDescent="0.2">
      <c r="B21" s="55" t="s">
        <v>333</v>
      </c>
      <c r="D21" s="60">
        <v>99.50833333333334</v>
      </c>
      <c r="E21" s="59">
        <v>99.783333333333331</v>
      </c>
      <c r="F21" s="59">
        <v>99.466666666666669</v>
      </c>
      <c r="G21" s="59">
        <v>100.26666666666667</v>
      </c>
      <c r="H21" s="59">
        <v>99.241666666666674</v>
      </c>
      <c r="I21" s="59">
        <v>95.291666666666671</v>
      </c>
      <c r="J21" s="59">
        <v>113.9</v>
      </c>
      <c r="K21" s="59">
        <v>160.33333333333334</v>
      </c>
      <c r="L21" s="81" t="s">
        <v>112</v>
      </c>
    </row>
    <row r="22" spans="2:12" x14ac:dyDescent="0.2">
      <c r="B22" s="55" t="s">
        <v>332</v>
      </c>
      <c r="D22" s="60">
        <v>92.4</v>
      </c>
      <c r="E22" s="59">
        <v>94.6</v>
      </c>
      <c r="F22" s="59">
        <v>92.2</v>
      </c>
      <c r="G22" s="59">
        <v>88</v>
      </c>
      <c r="H22" s="59">
        <v>93.8</v>
      </c>
      <c r="I22" s="59">
        <v>80</v>
      </c>
      <c r="J22" s="59">
        <v>99</v>
      </c>
      <c r="K22" s="59">
        <v>164.5</v>
      </c>
      <c r="L22" s="81" t="s">
        <v>112</v>
      </c>
    </row>
    <row r="23" spans="2:12" x14ac:dyDescent="0.2">
      <c r="B23" s="55" t="s">
        <v>331</v>
      </c>
      <c r="C23" s="54"/>
      <c r="D23" s="60">
        <v>89.4</v>
      </c>
      <c r="E23" s="59">
        <v>95.1</v>
      </c>
      <c r="F23" s="59">
        <v>89</v>
      </c>
      <c r="G23" s="59">
        <v>77</v>
      </c>
      <c r="H23" s="59">
        <v>99.4</v>
      </c>
      <c r="I23" s="59">
        <v>75.8</v>
      </c>
      <c r="J23" s="59">
        <v>96.5</v>
      </c>
      <c r="K23" s="59">
        <v>226.9</v>
      </c>
      <c r="L23" s="81" t="s">
        <v>112</v>
      </c>
    </row>
    <row r="24" spans="2:12" x14ac:dyDescent="0.2">
      <c r="B24" s="63" t="s">
        <v>330</v>
      </c>
      <c r="C24" s="54"/>
      <c r="D24" s="65">
        <v>95.6</v>
      </c>
      <c r="E24" s="64">
        <v>97.4</v>
      </c>
      <c r="F24" s="64">
        <v>95.5</v>
      </c>
      <c r="G24" s="64">
        <v>95.3</v>
      </c>
      <c r="H24" s="64">
        <v>92.6</v>
      </c>
      <c r="I24" s="64">
        <v>73.8</v>
      </c>
      <c r="J24" s="64">
        <v>120.1</v>
      </c>
      <c r="K24" s="64">
        <v>227.7</v>
      </c>
      <c r="L24" s="82" t="s">
        <v>358</v>
      </c>
    </row>
    <row r="25" spans="2:12" x14ac:dyDescent="0.2">
      <c r="D25" s="62"/>
    </row>
    <row r="26" spans="2:12" x14ac:dyDescent="0.2">
      <c r="D26" s="60"/>
      <c r="E26" s="59"/>
      <c r="F26" s="59"/>
      <c r="G26" s="59"/>
      <c r="H26" s="63" t="s">
        <v>329</v>
      </c>
      <c r="I26" s="59"/>
      <c r="J26" s="59"/>
      <c r="K26" s="59"/>
      <c r="L26" s="59"/>
    </row>
    <row r="27" spans="2:12" x14ac:dyDescent="0.2">
      <c r="B27" s="55" t="s">
        <v>328</v>
      </c>
      <c r="D27" s="60">
        <v>102.54166666666667</v>
      </c>
      <c r="E27" s="59">
        <v>92.11666666666666</v>
      </c>
      <c r="F27" s="59">
        <v>103.23333333333333</v>
      </c>
      <c r="G27" s="59">
        <v>96.55</v>
      </c>
      <c r="H27" s="59">
        <v>129.40833333333333</v>
      </c>
      <c r="I27" s="59">
        <v>129.76666666666668</v>
      </c>
      <c r="J27" s="59">
        <v>100.94166666666666</v>
      </c>
      <c r="K27" s="59">
        <v>81.650000000000006</v>
      </c>
      <c r="L27" s="81" t="s">
        <v>112</v>
      </c>
    </row>
    <row r="28" spans="2:12" x14ac:dyDescent="0.2">
      <c r="B28" s="55" t="s">
        <v>327</v>
      </c>
      <c r="D28" s="60">
        <v>101.05</v>
      </c>
      <c r="E28" s="59">
        <v>99.825000000000003</v>
      </c>
      <c r="F28" s="59">
        <v>101.10833333333333</v>
      </c>
      <c r="G28" s="59">
        <v>99.63333333333334</v>
      </c>
      <c r="H28" s="59">
        <v>112.58333333333333</v>
      </c>
      <c r="I28" s="59">
        <v>88.9</v>
      </c>
      <c r="J28" s="59">
        <v>103.85833333333333</v>
      </c>
      <c r="K28" s="59">
        <v>95.5</v>
      </c>
      <c r="L28" s="81" t="s">
        <v>112</v>
      </c>
    </row>
    <row r="29" spans="2:12" x14ac:dyDescent="0.2">
      <c r="B29" s="55" t="s">
        <v>326</v>
      </c>
      <c r="D29" s="60">
        <v>99.541666666666671</v>
      </c>
      <c r="E29" s="59">
        <v>99.341666666666669</v>
      </c>
      <c r="F29" s="59">
        <v>99.566666666666663</v>
      </c>
      <c r="G29" s="59">
        <v>96.025000000000006</v>
      </c>
      <c r="H29" s="59">
        <v>94.325000000000003</v>
      </c>
      <c r="I29" s="59">
        <v>105.58333333333333</v>
      </c>
      <c r="J29" s="59">
        <v>104.44166666666666</v>
      </c>
      <c r="K29" s="59">
        <v>111.50833333333334</v>
      </c>
      <c r="L29" s="81" t="s">
        <v>112</v>
      </c>
    </row>
    <row r="30" spans="2:12" x14ac:dyDescent="0.2">
      <c r="B30" s="55"/>
      <c r="D30" s="60"/>
      <c r="E30" s="59"/>
      <c r="F30" s="59"/>
      <c r="G30" s="59"/>
      <c r="H30" s="59"/>
      <c r="I30" s="59"/>
      <c r="J30" s="59"/>
      <c r="K30" s="59"/>
      <c r="L30" s="81"/>
    </row>
    <row r="31" spans="2:12" x14ac:dyDescent="0.2">
      <c r="B31" s="55" t="s">
        <v>325</v>
      </c>
      <c r="D31" s="60">
        <v>100.46666666666667</v>
      </c>
      <c r="E31" s="59">
        <v>101.26666666666667</v>
      </c>
      <c r="F31" s="59">
        <v>100.41666666666667</v>
      </c>
      <c r="G31" s="59">
        <v>92.991666666666674</v>
      </c>
      <c r="H31" s="59">
        <v>101.54166666666667</v>
      </c>
      <c r="I31" s="59">
        <v>99.36666666666666</v>
      </c>
      <c r="J31" s="59">
        <v>117.7</v>
      </c>
      <c r="K31" s="59">
        <v>146.32499999999999</v>
      </c>
      <c r="L31" s="81" t="s">
        <v>112</v>
      </c>
    </row>
    <row r="32" spans="2:12" x14ac:dyDescent="0.2">
      <c r="B32" s="55" t="s">
        <v>324</v>
      </c>
      <c r="D32" s="60">
        <v>97.9</v>
      </c>
      <c r="E32" s="59">
        <v>97</v>
      </c>
      <c r="F32" s="59">
        <v>98</v>
      </c>
      <c r="G32" s="59">
        <v>99.4</v>
      </c>
      <c r="H32" s="59">
        <v>95.7</v>
      </c>
      <c r="I32" s="59">
        <v>93.5</v>
      </c>
      <c r="J32" s="59">
        <v>111.2</v>
      </c>
      <c r="K32" s="59">
        <v>163.6</v>
      </c>
      <c r="L32" s="81" t="s">
        <v>112</v>
      </c>
    </row>
    <row r="33" spans="2:12" x14ac:dyDescent="0.2">
      <c r="B33" s="55" t="s">
        <v>323</v>
      </c>
      <c r="C33" s="54"/>
      <c r="D33" s="60">
        <v>90.6</v>
      </c>
      <c r="E33" s="59">
        <v>94.4</v>
      </c>
      <c r="F33" s="59">
        <v>90.4</v>
      </c>
      <c r="G33" s="59">
        <v>83.4</v>
      </c>
      <c r="H33" s="59">
        <v>98</v>
      </c>
      <c r="I33" s="59">
        <v>75.5</v>
      </c>
      <c r="J33" s="59">
        <v>98.6</v>
      </c>
      <c r="K33" s="59">
        <v>172.8</v>
      </c>
      <c r="L33" s="81" t="s">
        <v>112</v>
      </c>
    </row>
    <row r="34" spans="2:12" x14ac:dyDescent="0.2">
      <c r="B34" s="63" t="s">
        <v>359</v>
      </c>
      <c r="C34" s="54"/>
      <c r="D34" s="65">
        <v>91.5</v>
      </c>
      <c r="E34" s="64">
        <v>96.7</v>
      </c>
      <c r="F34" s="64">
        <v>91.2</v>
      </c>
      <c r="G34" s="64">
        <v>79.099999999999994</v>
      </c>
      <c r="H34" s="64">
        <v>97.8</v>
      </c>
      <c r="I34" s="64">
        <v>79</v>
      </c>
      <c r="J34" s="64">
        <v>98.6</v>
      </c>
      <c r="K34" s="64">
        <v>262.7</v>
      </c>
      <c r="L34" s="82" t="s">
        <v>358</v>
      </c>
    </row>
    <row r="35" spans="2:12" x14ac:dyDescent="0.2">
      <c r="D35" s="62"/>
    </row>
    <row r="36" spans="2:12" x14ac:dyDescent="0.2">
      <c r="D36" s="60"/>
      <c r="E36" s="59"/>
      <c r="F36" s="59"/>
      <c r="G36" s="59"/>
      <c r="H36" s="63" t="s">
        <v>321</v>
      </c>
      <c r="I36" s="59"/>
      <c r="J36" s="59"/>
      <c r="K36" s="59"/>
      <c r="L36" s="59"/>
    </row>
    <row r="37" spans="2:12" x14ac:dyDescent="0.2">
      <c r="B37" s="55" t="s">
        <v>319</v>
      </c>
      <c r="D37" s="60">
        <v>84.9</v>
      </c>
      <c r="E37" s="59">
        <v>99.8</v>
      </c>
      <c r="F37" s="59">
        <v>84</v>
      </c>
      <c r="G37" s="59">
        <v>81.099999999999994</v>
      </c>
      <c r="H37" s="59">
        <v>89.1</v>
      </c>
      <c r="I37" s="59">
        <v>74.900000000000006</v>
      </c>
      <c r="J37" s="59">
        <v>92.3</v>
      </c>
      <c r="K37" s="59">
        <v>298</v>
      </c>
      <c r="L37" s="81" t="s">
        <v>112</v>
      </c>
    </row>
    <row r="38" spans="2:12" x14ac:dyDescent="0.2">
      <c r="C38" s="61" t="s">
        <v>318</v>
      </c>
      <c r="D38" s="60">
        <v>92</v>
      </c>
      <c r="E38" s="59">
        <v>103</v>
      </c>
      <c r="F38" s="59">
        <v>91.2</v>
      </c>
      <c r="G38" s="59">
        <v>83.1</v>
      </c>
      <c r="H38" s="59">
        <v>109</v>
      </c>
      <c r="I38" s="59">
        <v>101.2</v>
      </c>
      <c r="J38" s="59">
        <v>99.7</v>
      </c>
      <c r="K38" s="59">
        <v>319.8</v>
      </c>
      <c r="L38" s="81" t="s">
        <v>112</v>
      </c>
    </row>
    <row r="39" spans="2:12" x14ac:dyDescent="0.2">
      <c r="C39" s="61" t="s">
        <v>317</v>
      </c>
      <c r="D39" s="60">
        <v>104.8</v>
      </c>
      <c r="E39" s="59">
        <v>105.2</v>
      </c>
      <c r="F39" s="59">
        <v>104.8</v>
      </c>
      <c r="G39" s="59">
        <v>91.2</v>
      </c>
      <c r="H39" s="59">
        <v>122</v>
      </c>
      <c r="I39" s="59">
        <v>70.900000000000006</v>
      </c>
      <c r="J39" s="59">
        <v>128.5</v>
      </c>
      <c r="K39" s="59">
        <v>410.1</v>
      </c>
      <c r="L39" s="81" t="s">
        <v>112</v>
      </c>
    </row>
    <row r="40" spans="2:12" x14ac:dyDescent="0.2">
      <c r="D40" s="62"/>
      <c r="L40" s="59"/>
    </row>
    <row r="41" spans="2:12" x14ac:dyDescent="0.2">
      <c r="C41" s="61" t="s">
        <v>316</v>
      </c>
      <c r="D41" s="60">
        <v>98.1</v>
      </c>
      <c r="E41" s="59">
        <v>92.5</v>
      </c>
      <c r="F41" s="59">
        <v>98.4</v>
      </c>
      <c r="G41" s="59">
        <v>91.3</v>
      </c>
      <c r="H41" s="59">
        <v>90.6</v>
      </c>
      <c r="I41" s="59">
        <v>53.6</v>
      </c>
      <c r="J41" s="59">
        <v>121.3</v>
      </c>
      <c r="K41" s="59">
        <v>323.39999999999998</v>
      </c>
      <c r="L41" s="81" t="s">
        <v>112</v>
      </c>
    </row>
    <row r="42" spans="2:12" x14ac:dyDescent="0.2">
      <c r="C42" s="61" t="s">
        <v>315</v>
      </c>
      <c r="D42" s="60">
        <v>93.8</v>
      </c>
      <c r="E42" s="59">
        <v>84.9</v>
      </c>
      <c r="F42" s="59">
        <v>94.3</v>
      </c>
      <c r="G42" s="59">
        <v>99.5</v>
      </c>
      <c r="H42" s="59">
        <v>84.7</v>
      </c>
      <c r="I42" s="59">
        <v>50</v>
      </c>
      <c r="J42" s="59">
        <v>128.1</v>
      </c>
      <c r="K42" s="59">
        <v>219.3</v>
      </c>
      <c r="L42" s="81" t="s">
        <v>112</v>
      </c>
    </row>
    <row r="43" spans="2:12" x14ac:dyDescent="0.2">
      <c r="C43" s="61" t="s">
        <v>314</v>
      </c>
      <c r="D43" s="60">
        <v>101.8</v>
      </c>
      <c r="E43" s="59">
        <v>84.1</v>
      </c>
      <c r="F43" s="59">
        <v>102.9</v>
      </c>
      <c r="G43" s="59">
        <v>96</v>
      </c>
      <c r="H43" s="59">
        <v>97.6</v>
      </c>
      <c r="I43" s="59">
        <v>59.4</v>
      </c>
      <c r="J43" s="59">
        <v>146.4</v>
      </c>
      <c r="K43" s="59">
        <v>285</v>
      </c>
      <c r="L43" s="81" t="s">
        <v>112</v>
      </c>
    </row>
    <row r="44" spans="2:12" x14ac:dyDescent="0.2">
      <c r="D44" s="62"/>
      <c r="L44" s="59"/>
    </row>
    <row r="45" spans="2:12" x14ac:dyDescent="0.2">
      <c r="C45" s="61" t="s">
        <v>313</v>
      </c>
      <c r="D45" s="60">
        <v>100.2</v>
      </c>
      <c r="E45" s="59">
        <v>106</v>
      </c>
      <c r="F45" s="59">
        <v>99.8</v>
      </c>
      <c r="G45" s="59">
        <v>97.3</v>
      </c>
      <c r="H45" s="59">
        <v>110.7</v>
      </c>
      <c r="I45" s="59">
        <v>47.1</v>
      </c>
      <c r="J45" s="59">
        <v>129.19999999999999</v>
      </c>
      <c r="K45" s="59">
        <v>220.6</v>
      </c>
      <c r="L45" s="81" t="s">
        <v>112</v>
      </c>
    </row>
    <row r="46" spans="2:12" x14ac:dyDescent="0.2">
      <c r="C46" s="61" t="s">
        <v>312</v>
      </c>
      <c r="D46" s="60">
        <v>92.2</v>
      </c>
      <c r="E46" s="59">
        <v>122.1</v>
      </c>
      <c r="F46" s="59">
        <v>90.2</v>
      </c>
      <c r="G46" s="59">
        <v>100.2</v>
      </c>
      <c r="H46" s="59">
        <v>72.7</v>
      </c>
      <c r="I46" s="59">
        <v>65.900000000000006</v>
      </c>
      <c r="J46" s="59">
        <v>109.6</v>
      </c>
      <c r="K46" s="59">
        <v>178.4</v>
      </c>
      <c r="L46" s="81" t="s">
        <v>112</v>
      </c>
    </row>
    <row r="47" spans="2:12" x14ac:dyDescent="0.2">
      <c r="C47" s="61" t="s">
        <v>311</v>
      </c>
      <c r="D47" s="60">
        <v>95.9</v>
      </c>
      <c r="E47" s="59">
        <v>111.8</v>
      </c>
      <c r="F47" s="59">
        <v>94.9</v>
      </c>
      <c r="G47" s="59">
        <v>102.5</v>
      </c>
      <c r="H47" s="59">
        <v>74</v>
      </c>
      <c r="I47" s="59">
        <v>95.2</v>
      </c>
      <c r="J47" s="59">
        <v>117.1</v>
      </c>
      <c r="K47" s="59">
        <v>153.80000000000001</v>
      </c>
      <c r="L47" s="81" t="s">
        <v>112</v>
      </c>
    </row>
    <row r="48" spans="2:12" x14ac:dyDescent="0.2">
      <c r="D48" s="62"/>
      <c r="L48" s="59"/>
    </row>
    <row r="49" spans="2:12" x14ac:dyDescent="0.2">
      <c r="C49" s="61" t="s">
        <v>310</v>
      </c>
      <c r="D49" s="60">
        <v>93.4</v>
      </c>
      <c r="E49" s="81">
        <v>88.5</v>
      </c>
      <c r="F49" s="59">
        <v>93.7</v>
      </c>
      <c r="G49" s="59">
        <v>102.9</v>
      </c>
      <c r="H49" s="59">
        <v>88.1</v>
      </c>
      <c r="I49" s="59">
        <v>102</v>
      </c>
      <c r="J49" s="59">
        <v>121.2</v>
      </c>
      <c r="K49" s="59">
        <v>100.5</v>
      </c>
      <c r="L49" s="81" t="s">
        <v>112</v>
      </c>
    </row>
    <row r="50" spans="2:12" x14ac:dyDescent="0.2">
      <c r="C50" s="61" t="s">
        <v>309</v>
      </c>
      <c r="D50" s="60">
        <v>95.6</v>
      </c>
      <c r="E50" s="59">
        <v>82.6</v>
      </c>
      <c r="F50" s="59">
        <v>96.4</v>
      </c>
      <c r="G50" s="59">
        <v>98.5</v>
      </c>
      <c r="H50" s="59">
        <v>87.8</v>
      </c>
      <c r="I50" s="59">
        <v>66.5</v>
      </c>
      <c r="J50" s="59">
        <v>128.5</v>
      </c>
      <c r="K50" s="59">
        <v>110.4</v>
      </c>
      <c r="L50" s="81" t="s">
        <v>112</v>
      </c>
    </row>
    <row r="51" spans="2:12" x14ac:dyDescent="0.2">
      <c r="C51" s="61" t="s">
        <v>308</v>
      </c>
      <c r="D51" s="60">
        <v>95.2</v>
      </c>
      <c r="E51" s="59">
        <v>87.7</v>
      </c>
      <c r="F51" s="59">
        <v>95.7</v>
      </c>
      <c r="G51" s="59">
        <v>100.6</v>
      </c>
      <c r="H51" s="59">
        <v>84.6</v>
      </c>
      <c r="I51" s="59">
        <v>98.6</v>
      </c>
      <c r="J51" s="59">
        <v>119.4</v>
      </c>
      <c r="K51" s="59">
        <v>113.4</v>
      </c>
      <c r="L51" s="81" t="s">
        <v>112</v>
      </c>
    </row>
    <row r="52" spans="2:12" x14ac:dyDescent="0.2">
      <c r="D52" s="62"/>
      <c r="L52" s="59"/>
    </row>
    <row r="53" spans="2:12" x14ac:dyDescent="0.2">
      <c r="D53" s="60"/>
      <c r="E53" s="59"/>
      <c r="F53" s="59"/>
      <c r="G53" s="63" t="s">
        <v>320</v>
      </c>
      <c r="H53" s="54"/>
      <c r="I53" s="59"/>
      <c r="J53" s="59"/>
      <c r="K53" s="59"/>
      <c r="L53" s="59"/>
    </row>
    <row r="54" spans="2:12" x14ac:dyDescent="0.2">
      <c r="B54" s="55" t="s">
        <v>319</v>
      </c>
      <c r="D54" s="60">
        <v>94.6</v>
      </c>
      <c r="E54" s="59">
        <v>97</v>
      </c>
      <c r="F54" s="59">
        <v>94.7</v>
      </c>
      <c r="G54" s="59">
        <v>81.599999999999994</v>
      </c>
      <c r="H54" s="59">
        <v>91.6</v>
      </c>
      <c r="I54" s="59">
        <v>77.400000000000006</v>
      </c>
      <c r="J54" s="59">
        <v>105.5</v>
      </c>
      <c r="K54" s="59">
        <v>307.7</v>
      </c>
      <c r="L54" s="81" t="s">
        <v>112</v>
      </c>
    </row>
    <row r="55" spans="2:12" x14ac:dyDescent="0.2">
      <c r="B55" s="54"/>
      <c r="C55" s="61" t="s">
        <v>318</v>
      </c>
      <c r="D55" s="60">
        <v>96.4</v>
      </c>
      <c r="E55" s="59">
        <v>98.4</v>
      </c>
      <c r="F55" s="59">
        <v>96.7</v>
      </c>
      <c r="G55" s="59">
        <v>86.6</v>
      </c>
      <c r="H55" s="59">
        <v>101.8</v>
      </c>
      <c r="I55" s="59">
        <v>70.2</v>
      </c>
      <c r="J55" s="59">
        <v>104.9</v>
      </c>
      <c r="K55" s="59">
        <v>305.89999999999998</v>
      </c>
      <c r="L55" s="81" t="s">
        <v>112</v>
      </c>
    </row>
    <row r="56" spans="2:12" x14ac:dyDescent="0.2">
      <c r="B56" s="54"/>
      <c r="C56" s="61" t="s">
        <v>317</v>
      </c>
      <c r="D56" s="60">
        <v>98.3</v>
      </c>
      <c r="E56" s="59">
        <v>97.6</v>
      </c>
      <c r="F56" s="59">
        <v>97.7</v>
      </c>
      <c r="G56" s="59">
        <v>89.5</v>
      </c>
      <c r="H56" s="59">
        <v>102.9</v>
      </c>
      <c r="I56" s="59">
        <v>70.7</v>
      </c>
      <c r="J56" s="59">
        <v>118.9</v>
      </c>
      <c r="K56" s="59">
        <v>343.9</v>
      </c>
      <c r="L56" s="81" t="s">
        <v>112</v>
      </c>
    </row>
    <row r="57" spans="2:12" x14ac:dyDescent="0.2">
      <c r="D57" s="62"/>
      <c r="L57" s="59"/>
    </row>
    <row r="58" spans="2:12" x14ac:dyDescent="0.2">
      <c r="B58" s="54"/>
      <c r="C58" s="61" t="s">
        <v>316</v>
      </c>
      <c r="D58" s="60">
        <v>97.3</v>
      </c>
      <c r="E58" s="59">
        <v>99.9</v>
      </c>
      <c r="F58" s="59">
        <v>96.9</v>
      </c>
      <c r="G58" s="59">
        <v>91.8</v>
      </c>
      <c r="H58" s="59">
        <v>106</v>
      </c>
      <c r="I58" s="59">
        <v>60.4</v>
      </c>
      <c r="J58" s="59">
        <v>114.1</v>
      </c>
      <c r="K58" s="59">
        <v>308.60000000000002</v>
      </c>
      <c r="L58" s="81" t="s">
        <v>112</v>
      </c>
    </row>
    <row r="59" spans="2:12" x14ac:dyDescent="0.2">
      <c r="B59" s="54"/>
      <c r="C59" s="61" t="s">
        <v>315</v>
      </c>
      <c r="D59" s="60">
        <v>95.4</v>
      </c>
      <c r="E59" s="59">
        <v>95.4</v>
      </c>
      <c r="F59" s="59">
        <v>95.2</v>
      </c>
      <c r="G59" s="59">
        <v>94.7</v>
      </c>
      <c r="H59" s="59">
        <v>103.2</v>
      </c>
      <c r="I59" s="59">
        <v>49.3</v>
      </c>
      <c r="J59" s="59">
        <v>116.2</v>
      </c>
      <c r="K59" s="59">
        <v>248.5</v>
      </c>
      <c r="L59" s="81" t="s">
        <v>112</v>
      </c>
    </row>
    <row r="60" spans="2:12" x14ac:dyDescent="0.2">
      <c r="B60" s="54"/>
      <c r="C60" s="61" t="s">
        <v>314</v>
      </c>
      <c r="D60" s="60">
        <v>98.7</v>
      </c>
      <c r="E60" s="59">
        <v>94.9</v>
      </c>
      <c r="F60" s="59">
        <v>98.9</v>
      </c>
      <c r="G60" s="59">
        <v>96.3</v>
      </c>
      <c r="H60" s="59">
        <v>92.6</v>
      </c>
      <c r="I60" s="59">
        <v>60.6</v>
      </c>
      <c r="J60" s="59">
        <v>118</v>
      </c>
      <c r="K60" s="59">
        <v>258.39999999999998</v>
      </c>
      <c r="L60" s="81" t="s">
        <v>112</v>
      </c>
    </row>
    <row r="61" spans="2:12" x14ac:dyDescent="0.2">
      <c r="B61" s="54"/>
      <c r="D61" s="62"/>
      <c r="L61" s="59"/>
    </row>
    <row r="62" spans="2:12" x14ac:dyDescent="0.2">
      <c r="B62" s="54"/>
      <c r="C62" s="61" t="s">
        <v>313</v>
      </c>
      <c r="D62" s="60">
        <v>95.6</v>
      </c>
      <c r="E62" s="59">
        <v>100</v>
      </c>
      <c r="F62" s="59">
        <v>95.2</v>
      </c>
      <c r="G62" s="59">
        <v>97.8</v>
      </c>
      <c r="H62" s="59">
        <v>96.2</v>
      </c>
      <c r="I62" s="59">
        <v>52.1</v>
      </c>
      <c r="J62" s="59">
        <v>115.9</v>
      </c>
      <c r="K62" s="59">
        <v>217.9</v>
      </c>
      <c r="L62" s="81" t="s">
        <v>112</v>
      </c>
    </row>
    <row r="63" spans="2:12" x14ac:dyDescent="0.2">
      <c r="B63" s="54"/>
      <c r="C63" s="61" t="s">
        <v>312</v>
      </c>
      <c r="D63" s="60">
        <v>95.9</v>
      </c>
      <c r="E63" s="59">
        <v>100.4</v>
      </c>
      <c r="F63" s="59">
        <v>95.4</v>
      </c>
      <c r="G63" s="59">
        <v>98.1</v>
      </c>
      <c r="H63" s="59">
        <v>86.5</v>
      </c>
      <c r="I63" s="59">
        <v>66.5</v>
      </c>
      <c r="J63" s="59">
        <v>123.7</v>
      </c>
      <c r="K63" s="59">
        <v>186.8</v>
      </c>
      <c r="L63" s="81" t="s">
        <v>112</v>
      </c>
    </row>
    <row r="64" spans="2:12" x14ac:dyDescent="0.2">
      <c r="B64" s="54"/>
      <c r="C64" s="61" t="s">
        <v>311</v>
      </c>
      <c r="D64" s="60">
        <v>94.9</v>
      </c>
      <c r="E64" s="59">
        <v>100.5</v>
      </c>
      <c r="F64" s="59">
        <v>94.6</v>
      </c>
      <c r="G64" s="59">
        <v>101.1</v>
      </c>
      <c r="H64" s="59">
        <v>89</v>
      </c>
      <c r="I64" s="59">
        <v>86.4</v>
      </c>
      <c r="J64" s="59">
        <v>116.7</v>
      </c>
      <c r="K64" s="59">
        <v>157.80000000000001</v>
      </c>
      <c r="L64" s="81" t="s">
        <v>112</v>
      </c>
    </row>
    <row r="65" spans="1:13" x14ac:dyDescent="0.2">
      <c r="D65" s="62"/>
      <c r="L65" s="59"/>
    </row>
    <row r="66" spans="1:13" x14ac:dyDescent="0.2">
      <c r="B66" s="54"/>
      <c r="C66" s="61" t="s">
        <v>310</v>
      </c>
      <c r="D66" s="60">
        <v>93.1</v>
      </c>
      <c r="E66" s="59">
        <v>98.6</v>
      </c>
      <c r="F66" s="59">
        <v>92.8</v>
      </c>
      <c r="G66" s="59">
        <v>100.4</v>
      </c>
      <c r="H66" s="59">
        <v>89.4</v>
      </c>
      <c r="I66" s="59">
        <v>83.5</v>
      </c>
      <c r="J66" s="59">
        <v>125.6</v>
      </c>
      <c r="K66" s="59">
        <v>141.4</v>
      </c>
      <c r="L66" s="81" t="s">
        <v>112</v>
      </c>
    </row>
    <row r="67" spans="1:13" x14ac:dyDescent="0.2">
      <c r="B67" s="54"/>
      <c r="C67" s="61" t="s">
        <v>309</v>
      </c>
      <c r="D67" s="60">
        <v>93.8</v>
      </c>
      <c r="E67" s="59">
        <v>102.5</v>
      </c>
      <c r="F67" s="59">
        <v>94</v>
      </c>
      <c r="G67" s="59">
        <v>102</v>
      </c>
      <c r="H67" s="59">
        <v>88</v>
      </c>
      <c r="I67" s="59">
        <v>69.7</v>
      </c>
      <c r="J67" s="59">
        <v>138.6</v>
      </c>
      <c r="K67" s="59">
        <v>119.2</v>
      </c>
      <c r="L67" s="81" t="s">
        <v>112</v>
      </c>
    </row>
    <row r="68" spans="1:13" x14ac:dyDescent="0.2">
      <c r="B68" s="54"/>
      <c r="C68" s="61" t="s">
        <v>308</v>
      </c>
      <c r="D68" s="60">
        <v>93.8</v>
      </c>
      <c r="E68" s="59">
        <v>102.5</v>
      </c>
      <c r="F68" s="59">
        <v>94.1</v>
      </c>
      <c r="G68" s="59">
        <v>104.6</v>
      </c>
      <c r="H68" s="59">
        <v>90.1</v>
      </c>
      <c r="I68" s="59">
        <v>100.3</v>
      </c>
      <c r="J68" s="59">
        <v>131.6</v>
      </c>
      <c r="K68" s="59">
        <v>112.5</v>
      </c>
      <c r="L68" s="81" t="s">
        <v>112</v>
      </c>
    </row>
    <row r="69" spans="1:13" ht="18" thickBot="1" x14ac:dyDescent="0.25">
      <c r="B69" s="58"/>
      <c r="C69" s="58"/>
      <c r="D69" s="57"/>
      <c r="E69" s="56"/>
      <c r="F69" s="56"/>
      <c r="G69" s="56"/>
      <c r="H69" s="56"/>
      <c r="I69" s="56"/>
      <c r="J69" s="56"/>
      <c r="K69" s="56"/>
      <c r="L69" s="56"/>
    </row>
    <row r="70" spans="1:13" x14ac:dyDescent="0.2">
      <c r="B70" s="54"/>
      <c r="C70" s="54"/>
      <c r="D70" s="55" t="s">
        <v>307</v>
      </c>
      <c r="E70" s="54"/>
      <c r="F70" s="54"/>
      <c r="G70" s="54"/>
      <c r="H70" s="54"/>
      <c r="I70" s="54"/>
      <c r="J70" s="54"/>
      <c r="K70" s="54"/>
      <c r="L70" s="54"/>
    </row>
    <row r="71" spans="1:13" x14ac:dyDescent="0.2">
      <c r="A71" s="55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2" spans="1:13" x14ac:dyDescent="0.2">
      <c r="A72" s="55"/>
    </row>
    <row r="77" spans="1:13" x14ac:dyDescent="0.2">
      <c r="F77" s="63" t="s">
        <v>357</v>
      </c>
    </row>
    <row r="78" spans="1:13" ht="18" thickBot="1" x14ac:dyDescent="0.25">
      <c r="B78" s="79"/>
      <c r="C78" s="79"/>
      <c r="D78" s="79"/>
      <c r="E78" s="79"/>
      <c r="F78" s="79"/>
      <c r="G78" s="79"/>
      <c r="H78" s="79"/>
      <c r="I78" s="79"/>
      <c r="J78" s="80" t="s">
        <v>356</v>
      </c>
      <c r="K78" s="79"/>
      <c r="L78" s="79"/>
    </row>
    <row r="79" spans="1:13" x14ac:dyDescent="0.2">
      <c r="D79" s="75"/>
      <c r="E79" s="69"/>
      <c r="F79" s="69"/>
      <c r="G79" s="69"/>
      <c r="H79" s="69"/>
      <c r="I79" s="69"/>
      <c r="J79" s="69"/>
      <c r="K79" s="69"/>
      <c r="L79" s="62"/>
    </row>
    <row r="80" spans="1:13" x14ac:dyDescent="0.2">
      <c r="D80" s="75"/>
      <c r="E80" s="69"/>
      <c r="F80" s="69"/>
      <c r="G80" s="70" t="s">
        <v>355</v>
      </c>
      <c r="H80" s="69"/>
      <c r="I80" s="69"/>
      <c r="J80" s="69"/>
      <c r="K80" s="69"/>
      <c r="L80" s="77" t="s">
        <v>354</v>
      </c>
      <c r="M80" s="74"/>
    </row>
    <row r="81" spans="2:13" x14ac:dyDescent="0.2">
      <c r="D81" s="78" t="s">
        <v>353</v>
      </c>
      <c r="E81" s="62"/>
      <c r="F81" s="78" t="s">
        <v>352</v>
      </c>
      <c r="G81" s="77" t="s">
        <v>351</v>
      </c>
      <c r="H81" s="78" t="s">
        <v>350</v>
      </c>
      <c r="I81" s="62"/>
      <c r="J81" s="78" t="s">
        <v>349</v>
      </c>
      <c r="K81" s="78" t="s">
        <v>348</v>
      </c>
      <c r="L81" s="77" t="s">
        <v>347</v>
      </c>
      <c r="M81" s="74"/>
    </row>
    <row r="82" spans="2:13" x14ac:dyDescent="0.2">
      <c r="B82" s="69"/>
      <c r="C82" s="69"/>
      <c r="D82" s="76" t="s">
        <v>345</v>
      </c>
      <c r="E82" s="76" t="s">
        <v>346</v>
      </c>
      <c r="F82" s="76" t="s">
        <v>345</v>
      </c>
      <c r="G82" s="76" t="s">
        <v>345</v>
      </c>
      <c r="H82" s="76" t="s">
        <v>344</v>
      </c>
      <c r="I82" s="76" t="s">
        <v>343</v>
      </c>
      <c r="J82" s="76" t="s">
        <v>342</v>
      </c>
      <c r="K82" s="76" t="s">
        <v>341</v>
      </c>
      <c r="L82" s="75"/>
      <c r="M82" s="74"/>
    </row>
    <row r="83" spans="2:13" x14ac:dyDescent="0.2">
      <c r="D83" s="62"/>
    </row>
    <row r="84" spans="2:13" x14ac:dyDescent="0.2">
      <c r="B84" s="70" t="s">
        <v>340</v>
      </c>
      <c r="C84" s="69"/>
      <c r="D84" s="73">
        <v>9</v>
      </c>
      <c r="E84" s="72">
        <v>54</v>
      </c>
      <c r="F84" s="72">
        <v>14</v>
      </c>
      <c r="G84" s="72">
        <v>6</v>
      </c>
      <c r="H84" s="72">
        <v>4</v>
      </c>
      <c r="I84" s="72">
        <v>31</v>
      </c>
      <c r="J84" s="72">
        <v>11</v>
      </c>
      <c r="K84" s="72">
        <v>15</v>
      </c>
      <c r="L84" s="71">
        <f>SUM(J13:L13)</f>
        <v>42</v>
      </c>
    </row>
    <row r="85" spans="2:13" x14ac:dyDescent="0.2">
      <c r="B85" s="70" t="s">
        <v>339</v>
      </c>
      <c r="C85" s="69"/>
      <c r="D85" s="68">
        <v>353.5</v>
      </c>
      <c r="E85" s="67">
        <v>2141.4</v>
      </c>
      <c r="F85" s="67">
        <v>789</v>
      </c>
      <c r="G85" s="67">
        <v>247.7</v>
      </c>
      <c r="H85" s="67">
        <v>92.8</v>
      </c>
      <c r="I85" s="67">
        <v>1070.4000000000001</v>
      </c>
      <c r="J85" s="67">
        <v>535.20000000000005</v>
      </c>
      <c r="K85" s="67">
        <v>619.20000000000005</v>
      </c>
      <c r="L85" s="66">
        <f>SUM(J14:L14)</f>
        <v>1573</v>
      </c>
    </row>
    <row r="86" spans="2:13" x14ac:dyDescent="0.2">
      <c r="D86" s="60"/>
      <c r="E86" s="59"/>
      <c r="F86" s="59"/>
      <c r="G86" s="59"/>
      <c r="H86" s="63" t="s">
        <v>338</v>
      </c>
      <c r="I86" s="59"/>
      <c r="J86" s="59"/>
      <c r="K86" s="59"/>
      <c r="L86" s="59"/>
    </row>
    <row r="87" spans="2:13" x14ac:dyDescent="0.2">
      <c r="B87" s="55" t="s">
        <v>337</v>
      </c>
      <c r="D87" s="60">
        <v>107.8</v>
      </c>
      <c r="E87" s="59">
        <v>106.23333333333333</v>
      </c>
      <c r="F87" s="59">
        <v>100.73333333333333</v>
      </c>
      <c r="G87" s="59">
        <v>113.40833333333333</v>
      </c>
      <c r="H87" s="59">
        <v>125.8</v>
      </c>
      <c r="I87" s="59">
        <v>108.93333333333334</v>
      </c>
      <c r="J87" s="59">
        <v>86.766666666666666</v>
      </c>
      <c r="K87" s="59">
        <v>108.41666666666667</v>
      </c>
      <c r="L87" s="59">
        <v>97.38333333333334</v>
      </c>
    </row>
    <row r="88" spans="2:13" x14ac:dyDescent="0.2">
      <c r="B88" s="55" t="s">
        <v>336</v>
      </c>
      <c r="D88" s="60">
        <v>101.36666666666667</v>
      </c>
      <c r="E88" s="59">
        <v>101.26666666666667</v>
      </c>
      <c r="F88" s="59">
        <v>98.416666666666671</v>
      </c>
      <c r="G88" s="59">
        <v>110.325</v>
      </c>
      <c r="H88" s="59">
        <v>129.56666666666666</v>
      </c>
      <c r="I88" s="59">
        <v>107.25833333333334</v>
      </c>
      <c r="J88" s="59">
        <v>95.275000000000006</v>
      </c>
      <c r="K88" s="59">
        <v>102.35833333333333</v>
      </c>
      <c r="L88" s="59">
        <v>104</v>
      </c>
    </row>
    <row r="89" spans="2:13" x14ac:dyDescent="0.2">
      <c r="B89" s="55" t="s">
        <v>335</v>
      </c>
      <c r="D89" s="60">
        <v>100</v>
      </c>
      <c r="E89" s="59">
        <v>100.01</v>
      </c>
      <c r="F89" s="59">
        <v>99.991666666666674</v>
      </c>
      <c r="G89" s="59">
        <v>100</v>
      </c>
      <c r="H89" s="59">
        <v>99.99166666666666</v>
      </c>
      <c r="I89" s="59">
        <v>100</v>
      </c>
      <c r="J89" s="59">
        <v>100.00833333333334</v>
      </c>
      <c r="K89" s="59">
        <v>100</v>
      </c>
      <c r="L89" s="59">
        <v>99.99166666666666</v>
      </c>
    </row>
    <row r="90" spans="2:13" x14ac:dyDescent="0.2">
      <c r="B90" s="55" t="s">
        <v>334</v>
      </c>
      <c r="D90" s="60">
        <v>100.27500000000001</v>
      </c>
      <c r="E90" s="59">
        <v>92.191666666666663</v>
      </c>
      <c r="F90" s="59">
        <v>104.69166666666666</v>
      </c>
      <c r="G90" s="59">
        <v>98.191666666666663</v>
      </c>
      <c r="H90" s="59">
        <v>69.166666666666671</v>
      </c>
      <c r="I90" s="59">
        <v>97.325000000000003</v>
      </c>
      <c r="J90" s="59">
        <v>104.97499999999999</v>
      </c>
      <c r="K90" s="59">
        <v>93.625</v>
      </c>
      <c r="L90" s="59">
        <v>120.91666666666667</v>
      </c>
    </row>
    <row r="91" spans="2:13" x14ac:dyDescent="0.2">
      <c r="B91" s="55"/>
      <c r="D91" s="60"/>
      <c r="E91" s="59"/>
      <c r="F91" s="59"/>
      <c r="G91" s="59"/>
      <c r="H91" s="59"/>
      <c r="I91" s="59"/>
      <c r="J91" s="59"/>
      <c r="K91" s="59"/>
      <c r="L91" s="59"/>
    </row>
    <row r="92" spans="2:13" x14ac:dyDescent="0.2">
      <c r="B92" s="55" t="s">
        <v>333</v>
      </c>
      <c r="D92" s="60">
        <v>99.15</v>
      </c>
      <c r="E92" s="59">
        <v>87.2</v>
      </c>
      <c r="F92" s="59">
        <v>98.108333333333334</v>
      </c>
      <c r="G92" s="59">
        <v>88.74166666666666</v>
      </c>
      <c r="H92" s="59">
        <v>70.791666666666671</v>
      </c>
      <c r="I92" s="59">
        <v>98.766666666666666</v>
      </c>
      <c r="J92" s="59">
        <v>105.50833333333334</v>
      </c>
      <c r="K92" s="59">
        <v>93.35</v>
      </c>
      <c r="L92" s="59">
        <v>121.5</v>
      </c>
    </row>
    <row r="93" spans="2:13" x14ac:dyDescent="0.2">
      <c r="B93" s="55" t="s">
        <v>332</v>
      </c>
      <c r="D93" s="60">
        <v>85.7</v>
      </c>
      <c r="E93" s="59">
        <v>84.1</v>
      </c>
      <c r="F93" s="59">
        <v>104.8</v>
      </c>
      <c r="G93" s="59">
        <v>84.2</v>
      </c>
      <c r="H93" s="59">
        <v>70.5</v>
      </c>
      <c r="I93" s="59">
        <v>90</v>
      </c>
      <c r="J93" s="59">
        <v>107.8</v>
      </c>
      <c r="K93" s="59">
        <v>83.9</v>
      </c>
      <c r="L93" s="59">
        <v>110</v>
      </c>
    </row>
    <row r="94" spans="2:13" x14ac:dyDescent="0.2">
      <c r="B94" s="55" t="s">
        <v>331</v>
      </c>
      <c r="C94" s="54"/>
      <c r="D94" s="60">
        <v>76.8</v>
      </c>
      <c r="E94" s="59">
        <v>81.900000000000006</v>
      </c>
      <c r="F94" s="59">
        <v>104.9</v>
      </c>
      <c r="G94" s="59">
        <v>80.900000000000006</v>
      </c>
      <c r="H94" s="59">
        <v>72.099999999999994</v>
      </c>
      <c r="I94" s="59">
        <v>82.7</v>
      </c>
      <c r="J94" s="59">
        <v>106.5</v>
      </c>
      <c r="K94" s="59">
        <v>77.3</v>
      </c>
      <c r="L94" s="59">
        <v>118</v>
      </c>
    </row>
    <row r="95" spans="2:13" x14ac:dyDescent="0.2">
      <c r="B95" s="63" t="s">
        <v>330</v>
      </c>
      <c r="C95" s="54"/>
      <c r="D95" s="65">
        <v>78.2</v>
      </c>
      <c r="E95" s="64">
        <v>86.4</v>
      </c>
      <c r="F95" s="64">
        <v>103.3</v>
      </c>
      <c r="G95" s="64">
        <v>80.7</v>
      </c>
      <c r="H95" s="64">
        <v>72.099999999999994</v>
      </c>
      <c r="I95" s="64">
        <v>73.7</v>
      </c>
      <c r="J95" s="64">
        <v>103.9</v>
      </c>
      <c r="K95" s="64">
        <v>78.7</v>
      </c>
      <c r="L95" s="64">
        <v>137.9</v>
      </c>
    </row>
    <row r="96" spans="2:13" x14ac:dyDescent="0.2">
      <c r="D96" s="62"/>
    </row>
    <row r="97" spans="2:12" x14ac:dyDescent="0.2">
      <c r="D97" s="60"/>
      <c r="E97" s="59"/>
      <c r="F97" s="59"/>
      <c r="G97" s="59"/>
      <c r="H97" s="63" t="s">
        <v>329</v>
      </c>
      <c r="I97" s="59"/>
      <c r="J97" s="59"/>
      <c r="K97" s="59"/>
      <c r="L97" s="59"/>
    </row>
    <row r="98" spans="2:12" x14ac:dyDescent="0.2">
      <c r="B98" s="55" t="s">
        <v>328</v>
      </c>
      <c r="D98" s="60">
        <v>107.46666666666667</v>
      </c>
      <c r="E98" s="59">
        <v>103.08333333333333</v>
      </c>
      <c r="F98" s="59">
        <v>103.26666666666667</v>
      </c>
      <c r="G98" s="59">
        <v>108.9</v>
      </c>
      <c r="H98" s="59">
        <v>123.74166666666667</v>
      </c>
      <c r="I98" s="59">
        <v>110.15</v>
      </c>
      <c r="J98" s="59">
        <v>89.3</v>
      </c>
      <c r="K98" s="59">
        <v>106.28333333333333</v>
      </c>
      <c r="L98" s="59">
        <v>97.841666666666669</v>
      </c>
    </row>
    <row r="99" spans="2:12" x14ac:dyDescent="0.2">
      <c r="B99" s="55" t="s">
        <v>327</v>
      </c>
      <c r="D99" s="60">
        <v>98.174999999999997</v>
      </c>
      <c r="E99" s="59">
        <v>103.05</v>
      </c>
      <c r="F99" s="59">
        <v>97.208333333333329</v>
      </c>
      <c r="G99" s="59">
        <v>106.97499999999999</v>
      </c>
      <c r="H99" s="59">
        <v>130.65</v>
      </c>
      <c r="I99" s="59">
        <v>104.88333333333334</v>
      </c>
      <c r="J99" s="59">
        <v>95.65</v>
      </c>
      <c r="K99" s="59">
        <v>103.13333333333333</v>
      </c>
      <c r="L99" s="59">
        <v>102.43333333333334</v>
      </c>
    </row>
    <row r="100" spans="2:12" x14ac:dyDescent="0.2">
      <c r="B100" s="55" t="s">
        <v>326</v>
      </c>
      <c r="D100" s="60">
        <v>100.83333333333333</v>
      </c>
      <c r="E100" s="59">
        <v>97.126666666666665</v>
      </c>
      <c r="F100" s="59">
        <v>101.14166666666667</v>
      </c>
      <c r="G100" s="59">
        <v>101.74166666666667</v>
      </c>
      <c r="H100" s="59">
        <v>84.25833333333334</v>
      </c>
      <c r="I100" s="59">
        <v>99.025000000000006</v>
      </c>
      <c r="J100" s="59">
        <v>100.1</v>
      </c>
      <c r="K100" s="59">
        <v>98.50833333333334</v>
      </c>
      <c r="L100" s="59">
        <v>105.63333333333334</v>
      </c>
    </row>
    <row r="101" spans="2:12" x14ac:dyDescent="0.2">
      <c r="B101" s="55" t="s">
        <v>325</v>
      </c>
      <c r="D101" s="60">
        <v>102.8</v>
      </c>
      <c r="E101" s="59">
        <v>92.808333333333337</v>
      </c>
      <c r="F101" s="59">
        <v>102.78333333333333</v>
      </c>
      <c r="G101" s="59">
        <v>97.95</v>
      </c>
      <c r="H101" s="59">
        <v>70.816666666666663</v>
      </c>
      <c r="I101" s="59">
        <v>98.5</v>
      </c>
      <c r="J101" s="59">
        <v>107.40833333333333</v>
      </c>
      <c r="K101" s="59">
        <v>93.783333333333331</v>
      </c>
      <c r="L101" s="59">
        <v>122.425</v>
      </c>
    </row>
    <row r="102" spans="2:12" x14ac:dyDescent="0.2">
      <c r="B102" s="55"/>
      <c r="D102" s="60"/>
      <c r="E102" s="59"/>
      <c r="F102" s="59"/>
      <c r="G102" s="59"/>
      <c r="H102" s="59"/>
      <c r="I102" s="59"/>
      <c r="J102" s="59"/>
      <c r="K102" s="59"/>
      <c r="L102" s="59"/>
    </row>
    <row r="103" spans="2:12" x14ac:dyDescent="0.2">
      <c r="B103" s="55" t="s">
        <v>324</v>
      </c>
      <c r="D103" s="60">
        <v>94</v>
      </c>
      <c r="E103" s="59">
        <v>85.4</v>
      </c>
      <c r="F103" s="59">
        <v>99.5</v>
      </c>
      <c r="G103" s="59">
        <v>87.4</v>
      </c>
      <c r="H103" s="59">
        <v>70.599999999999994</v>
      </c>
      <c r="I103" s="59">
        <v>96</v>
      </c>
      <c r="J103" s="59">
        <v>105.4</v>
      </c>
      <c r="K103" s="59">
        <v>91.1</v>
      </c>
      <c r="L103" s="59">
        <v>119.8</v>
      </c>
    </row>
    <row r="104" spans="2:12" x14ac:dyDescent="0.2">
      <c r="B104" s="55" t="s">
        <v>323</v>
      </c>
      <c r="C104" s="54"/>
      <c r="D104" s="60">
        <v>83.1</v>
      </c>
      <c r="E104" s="59">
        <v>81</v>
      </c>
      <c r="F104" s="59">
        <v>105.4</v>
      </c>
      <c r="G104" s="59">
        <v>83.2</v>
      </c>
      <c r="H104" s="59">
        <v>70</v>
      </c>
      <c r="I104" s="59">
        <v>89.5</v>
      </c>
      <c r="J104" s="59">
        <v>108.8</v>
      </c>
      <c r="K104" s="59">
        <v>81.7</v>
      </c>
      <c r="L104" s="59">
        <v>110.9</v>
      </c>
    </row>
    <row r="105" spans="2:12" x14ac:dyDescent="0.2">
      <c r="B105" s="63" t="s">
        <v>322</v>
      </c>
      <c r="C105" s="54"/>
      <c r="D105" s="65">
        <v>76.8</v>
      </c>
      <c r="E105" s="64">
        <v>85.4</v>
      </c>
      <c r="F105" s="64">
        <v>106.9</v>
      </c>
      <c r="G105" s="64">
        <v>80.2</v>
      </c>
      <c r="H105" s="64">
        <v>72.3</v>
      </c>
      <c r="I105" s="64">
        <v>80.3</v>
      </c>
      <c r="J105" s="64">
        <v>103</v>
      </c>
      <c r="K105" s="64">
        <v>76.599999999999994</v>
      </c>
      <c r="L105" s="64">
        <v>125.7</v>
      </c>
    </row>
    <row r="106" spans="2:12" x14ac:dyDescent="0.2">
      <c r="D106" s="62"/>
    </row>
    <row r="107" spans="2:12" x14ac:dyDescent="0.2">
      <c r="D107" s="60"/>
      <c r="E107" s="59"/>
      <c r="F107" s="59"/>
      <c r="G107" s="59"/>
      <c r="H107" s="63" t="s">
        <v>321</v>
      </c>
      <c r="I107" s="59"/>
      <c r="J107" s="59"/>
      <c r="K107" s="59"/>
      <c r="L107" s="59"/>
    </row>
    <row r="108" spans="2:12" x14ac:dyDescent="0.2">
      <c r="B108" s="55" t="s">
        <v>319</v>
      </c>
      <c r="D108" s="60">
        <v>70.8</v>
      </c>
      <c r="E108" s="59">
        <v>66.7</v>
      </c>
      <c r="F108" s="59">
        <v>106.2</v>
      </c>
      <c r="G108" s="59">
        <v>80.599999999999994</v>
      </c>
      <c r="H108" s="59">
        <v>55.2</v>
      </c>
      <c r="I108" s="59">
        <v>71.3</v>
      </c>
      <c r="J108" s="59">
        <v>63.2</v>
      </c>
      <c r="K108" s="59">
        <v>77.8</v>
      </c>
      <c r="L108" s="59">
        <v>126.1</v>
      </c>
    </row>
    <row r="109" spans="2:12" x14ac:dyDescent="0.2">
      <c r="C109" s="61" t="s">
        <v>318</v>
      </c>
      <c r="D109" s="60">
        <v>86.1</v>
      </c>
      <c r="E109" s="59">
        <v>75.3</v>
      </c>
      <c r="F109" s="59">
        <v>103.7</v>
      </c>
      <c r="G109" s="59">
        <v>78.900000000000006</v>
      </c>
      <c r="H109" s="59">
        <v>60.8</v>
      </c>
      <c r="I109" s="59">
        <v>75.8</v>
      </c>
      <c r="J109" s="59">
        <v>85.4</v>
      </c>
      <c r="K109" s="59">
        <v>77.099999999999994</v>
      </c>
      <c r="L109" s="59">
        <v>136</v>
      </c>
    </row>
    <row r="110" spans="2:12" x14ac:dyDescent="0.2">
      <c r="C110" s="61" t="s">
        <v>317</v>
      </c>
      <c r="D110" s="60">
        <v>91.6</v>
      </c>
      <c r="E110" s="59">
        <v>90.5</v>
      </c>
      <c r="F110" s="59">
        <v>124.7</v>
      </c>
      <c r="G110" s="59">
        <v>79</v>
      </c>
      <c r="H110" s="59">
        <v>72.3</v>
      </c>
      <c r="I110" s="59">
        <v>82.7</v>
      </c>
      <c r="J110" s="59">
        <v>108.7</v>
      </c>
      <c r="K110" s="59">
        <v>78.400000000000006</v>
      </c>
      <c r="L110" s="59">
        <v>174.9</v>
      </c>
    </row>
    <row r="111" spans="2:12" x14ac:dyDescent="0.2">
      <c r="D111" s="62"/>
    </row>
    <row r="112" spans="2:12" x14ac:dyDescent="0.2">
      <c r="C112" s="61" t="s">
        <v>316</v>
      </c>
      <c r="D112" s="60">
        <v>73.5</v>
      </c>
      <c r="E112" s="59">
        <v>93.4</v>
      </c>
      <c r="F112" s="59">
        <v>98.9</v>
      </c>
      <c r="G112" s="59">
        <v>78.5</v>
      </c>
      <c r="H112" s="59">
        <v>71</v>
      </c>
      <c r="I112" s="59">
        <v>80.5</v>
      </c>
      <c r="J112" s="59">
        <v>116.3</v>
      </c>
      <c r="K112" s="59">
        <v>76.099999999999994</v>
      </c>
      <c r="L112" s="59">
        <v>154.30000000000001</v>
      </c>
    </row>
    <row r="113" spans="2:12" x14ac:dyDescent="0.2">
      <c r="C113" s="61" t="s">
        <v>315</v>
      </c>
      <c r="D113" s="60">
        <v>71.3</v>
      </c>
      <c r="E113" s="59">
        <v>81.2</v>
      </c>
      <c r="F113" s="59">
        <v>97.4</v>
      </c>
      <c r="G113" s="59">
        <v>80</v>
      </c>
      <c r="H113" s="59">
        <v>70.2</v>
      </c>
      <c r="I113" s="59">
        <v>73.400000000000006</v>
      </c>
      <c r="J113" s="59">
        <v>109.8</v>
      </c>
      <c r="K113" s="59">
        <v>79</v>
      </c>
      <c r="L113" s="59">
        <v>143.19999999999999</v>
      </c>
    </row>
    <row r="114" spans="2:12" x14ac:dyDescent="0.2">
      <c r="C114" s="61" t="s">
        <v>314</v>
      </c>
      <c r="D114" s="60">
        <v>75.3</v>
      </c>
      <c r="E114" s="59">
        <v>96.2</v>
      </c>
      <c r="F114" s="59">
        <v>101.3</v>
      </c>
      <c r="G114" s="59">
        <v>77</v>
      </c>
      <c r="H114" s="59">
        <v>76.599999999999994</v>
      </c>
      <c r="I114" s="59">
        <v>76.3</v>
      </c>
      <c r="J114" s="59">
        <v>121.1</v>
      </c>
      <c r="K114" s="59">
        <v>81.3</v>
      </c>
      <c r="L114" s="59">
        <v>168.6</v>
      </c>
    </row>
    <row r="115" spans="2:12" x14ac:dyDescent="0.2">
      <c r="D115" s="62"/>
    </row>
    <row r="116" spans="2:12" x14ac:dyDescent="0.2">
      <c r="C116" s="61" t="s">
        <v>313</v>
      </c>
      <c r="D116" s="60">
        <v>72.900000000000006</v>
      </c>
      <c r="E116" s="59">
        <v>102</v>
      </c>
      <c r="F116" s="59">
        <v>113.3</v>
      </c>
      <c r="G116" s="59">
        <v>78</v>
      </c>
      <c r="H116" s="59">
        <v>75.7</v>
      </c>
      <c r="I116" s="59">
        <v>71.900000000000006</v>
      </c>
      <c r="J116" s="59">
        <v>116.8</v>
      </c>
      <c r="K116" s="59">
        <v>75.7</v>
      </c>
      <c r="L116" s="59">
        <v>144</v>
      </c>
    </row>
    <row r="117" spans="2:12" x14ac:dyDescent="0.2">
      <c r="C117" s="61" t="s">
        <v>312</v>
      </c>
      <c r="D117" s="60">
        <v>70.8</v>
      </c>
      <c r="E117" s="59">
        <v>74</v>
      </c>
      <c r="F117" s="59">
        <v>103.6</v>
      </c>
      <c r="G117" s="59">
        <v>80.3</v>
      </c>
      <c r="H117" s="59">
        <v>66.8</v>
      </c>
      <c r="I117" s="59">
        <v>67.3</v>
      </c>
      <c r="J117" s="59">
        <v>112.8</v>
      </c>
      <c r="K117" s="59">
        <v>80.5</v>
      </c>
      <c r="L117" s="59">
        <v>120.7</v>
      </c>
    </row>
    <row r="118" spans="2:12" x14ac:dyDescent="0.2">
      <c r="C118" s="61" t="s">
        <v>311</v>
      </c>
      <c r="D118" s="60">
        <v>82</v>
      </c>
      <c r="E118" s="59">
        <v>83.7</v>
      </c>
      <c r="F118" s="59">
        <v>94.9</v>
      </c>
      <c r="G118" s="59">
        <v>84.1</v>
      </c>
      <c r="H118" s="59">
        <v>68</v>
      </c>
      <c r="I118" s="59">
        <v>69.2</v>
      </c>
      <c r="J118" s="59">
        <v>112.2</v>
      </c>
      <c r="K118" s="59">
        <v>82.6</v>
      </c>
      <c r="L118" s="59">
        <v>123.8</v>
      </c>
    </row>
    <row r="119" spans="2:12" x14ac:dyDescent="0.2">
      <c r="D119" s="62"/>
    </row>
    <row r="120" spans="2:12" x14ac:dyDescent="0.2">
      <c r="C120" s="61" t="s">
        <v>310</v>
      </c>
      <c r="D120" s="60">
        <v>76.2</v>
      </c>
      <c r="E120" s="59">
        <v>83.2</v>
      </c>
      <c r="F120" s="59">
        <v>87</v>
      </c>
      <c r="G120" s="59">
        <v>84.2</v>
      </c>
      <c r="H120" s="59">
        <v>86.3</v>
      </c>
      <c r="I120" s="59">
        <v>70.599999999999994</v>
      </c>
      <c r="J120" s="59">
        <v>108.8</v>
      </c>
      <c r="K120" s="59">
        <v>81.5</v>
      </c>
      <c r="L120" s="59">
        <v>118.2</v>
      </c>
    </row>
    <row r="121" spans="2:12" x14ac:dyDescent="0.2">
      <c r="C121" s="61" t="s">
        <v>309</v>
      </c>
      <c r="D121" s="60">
        <v>79.8</v>
      </c>
      <c r="E121" s="59">
        <v>99.7</v>
      </c>
      <c r="F121" s="59">
        <v>96.8</v>
      </c>
      <c r="G121" s="59">
        <v>81.5</v>
      </c>
      <c r="H121" s="59">
        <v>86.6</v>
      </c>
      <c r="I121" s="59">
        <v>74.5</v>
      </c>
      <c r="J121" s="59">
        <v>102.9</v>
      </c>
      <c r="K121" s="59">
        <v>78.099999999999994</v>
      </c>
      <c r="L121" s="59">
        <v>126</v>
      </c>
    </row>
    <row r="122" spans="2:12" x14ac:dyDescent="0.2">
      <c r="C122" s="61" t="s">
        <v>308</v>
      </c>
      <c r="D122" s="60">
        <v>88.1</v>
      </c>
      <c r="E122" s="59">
        <v>90.4</v>
      </c>
      <c r="F122" s="59">
        <v>111.5</v>
      </c>
      <c r="G122" s="59">
        <v>86</v>
      </c>
      <c r="H122" s="59">
        <v>76.099999999999994</v>
      </c>
      <c r="I122" s="59">
        <v>71.3</v>
      </c>
      <c r="J122" s="59">
        <v>88.7</v>
      </c>
      <c r="K122" s="59">
        <v>76.7</v>
      </c>
      <c r="L122" s="59">
        <v>119.2</v>
      </c>
    </row>
    <row r="123" spans="2:12" x14ac:dyDescent="0.2">
      <c r="D123" s="62"/>
    </row>
    <row r="124" spans="2:12" x14ac:dyDescent="0.2">
      <c r="D124" s="60"/>
      <c r="E124" s="59"/>
      <c r="F124" s="59"/>
      <c r="G124" s="63" t="s">
        <v>320</v>
      </c>
      <c r="H124" s="54"/>
      <c r="I124" s="59"/>
      <c r="J124" s="59"/>
      <c r="K124" s="59"/>
      <c r="L124" s="59"/>
    </row>
    <row r="125" spans="2:12" x14ac:dyDescent="0.2">
      <c r="B125" s="55" t="s">
        <v>319</v>
      </c>
      <c r="D125" s="60">
        <v>75.900000000000006</v>
      </c>
      <c r="E125" s="59">
        <v>91</v>
      </c>
      <c r="F125" s="59">
        <v>107.4</v>
      </c>
      <c r="G125" s="59">
        <v>78.7</v>
      </c>
      <c r="H125" s="59">
        <v>68.099999999999994</v>
      </c>
      <c r="I125" s="59">
        <v>79.099999999999994</v>
      </c>
      <c r="J125" s="59">
        <v>102.7</v>
      </c>
      <c r="K125" s="59">
        <v>77.8</v>
      </c>
      <c r="L125" s="59">
        <v>140.19999999999999</v>
      </c>
    </row>
    <row r="126" spans="2:12" x14ac:dyDescent="0.2">
      <c r="B126" s="54"/>
      <c r="C126" s="61" t="s">
        <v>318</v>
      </c>
      <c r="D126" s="60">
        <v>78.099999999999994</v>
      </c>
      <c r="E126" s="59">
        <v>86.9</v>
      </c>
      <c r="F126" s="59">
        <v>107.8</v>
      </c>
      <c r="G126" s="59">
        <v>81.3</v>
      </c>
      <c r="H126" s="59">
        <v>71.599999999999994</v>
      </c>
      <c r="I126" s="59">
        <v>77.599999999999994</v>
      </c>
      <c r="J126" s="59">
        <v>101.1</v>
      </c>
      <c r="K126" s="59">
        <v>75.7</v>
      </c>
      <c r="L126" s="59">
        <v>140.19999999999999</v>
      </c>
    </row>
    <row r="127" spans="2:12" x14ac:dyDescent="0.2">
      <c r="B127" s="54"/>
      <c r="C127" s="61" t="s">
        <v>317</v>
      </c>
      <c r="D127" s="60">
        <v>76.099999999999994</v>
      </c>
      <c r="E127" s="59">
        <v>88.8</v>
      </c>
      <c r="F127" s="59">
        <v>105.8</v>
      </c>
      <c r="G127" s="59">
        <v>81.7</v>
      </c>
      <c r="H127" s="59">
        <v>71.400000000000006</v>
      </c>
      <c r="I127" s="59">
        <v>77.900000000000006</v>
      </c>
      <c r="J127" s="59">
        <v>101.9</v>
      </c>
      <c r="K127" s="59">
        <v>73.7</v>
      </c>
      <c r="L127" s="59">
        <v>157.80000000000001</v>
      </c>
    </row>
    <row r="128" spans="2:12" x14ac:dyDescent="0.2">
      <c r="D128" s="62"/>
    </row>
    <row r="129" spans="1:12" x14ac:dyDescent="0.2">
      <c r="B129" s="54"/>
      <c r="C129" s="61" t="s">
        <v>316</v>
      </c>
      <c r="D129" s="60">
        <v>74.7</v>
      </c>
      <c r="E129" s="59">
        <v>90.7</v>
      </c>
      <c r="F129" s="59">
        <v>99.5</v>
      </c>
      <c r="G129" s="59">
        <v>79.3</v>
      </c>
      <c r="H129" s="59">
        <v>71</v>
      </c>
      <c r="I129" s="59">
        <v>77</v>
      </c>
      <c r="J129" s="59">
        <v>104</v>
      </c>
      <c r="K129" s="59">
        <v>76.900000000000006</v>
      </c>
      <c r="L129" s="59">
        <v>145</v>
      </c>
    </row>
    <row r="130" spans="1:12" x14ac:dyDescent="0.2">
      <c r="B130" s="54"/>
      <c r="C130" s="61" t="s">
        <v>315</v>
      </c>
      <c r="D130" s="60">
        <v>77.3</v>
      </c>
      <c r="E130" s="59">
        <v>88.3</v>
      </c>
      <c r="F130" s="59">
        <v>97.1</v>
      </c>
      <c r="G130" s="59">
        <v>82.9</v>
      </c>
      <c r="H130" s="59">
        <v>71.5</v>
      </c>
      <c r="I130" s="59">
        <v>73.7</v>
      </c>
      <c r="J130" s="59">
        <v>104.6</v>
      </c>
      <c r="K130" s="59">
        <v>79.099999999999994</v>
      </c>
      <c r="L130" s="59">
        <v>138.30000000000001</v>
      </c>
    </row>
    <row r="131" spans="1:12" x14ac:dyDescent="0.2">
      <c r="B131" s="54"/>
      <c r="C131" s="61" t="s">
        <v>314</v>
      </c>
      <c r="D131" s="60">
        <v>81</v>
      </c>
      <c r="E131" s="59">
        <v>89.1</v>
      </c>
      <c r="F131" s="59">
        <v>106.9</v>
      </c>
      <c r="G131" s="59">
        <v>79.8</v>
      </c>
      <c r="H131" s="59">
        <v>73.2</v>
      </c>
      <c r="I131" s="59">
        <v>72.8</v>
      </c>
      <c r="J131" s="59">
        <v>108.7</v>
      </c>
      <c r="K131" s="59">
        <v>81.900000000000006</v>
      </c>
      <c r="L131" s="59">
        <v>150.19999999999999</v>
      </c>
    </row>
    <row r="132" spans="1:12" x14ac:dyDescent="0.2">
      <c r="B132" s="54"/>
      <c r="D132" s="62"/>
    </row>
    <row r="133" spans="1:12" x14ac:dyDescent="0.2">
      <c r="B133" s="54"/>
      <c r="C133" s="61" t="s">
        <v>313</v>
      </c>
      <c r="D133" s="60">
        <v>76.900000000000006</v>
      </c>
      <c r="E133" s="59">
        <v>89.1</v>
      </c>
      <c r="F133" s="59">
        <v>107.8</v>
      </c>
      <c r="G133" s="59">
        <v>82.7</v>
      </c>
      <c r="H133" s="59">
        <v>70.3</v>
      </c>
      <c r="I133" s="59">
        <v>70.400000000000006</v>
      </c>
      <c r="J133" s="59">
        <v>104.3</v>
      </c>
      <c r="K133" s="59">
        <v>78.400000000000006</v>
      </c>
      <c r="L133" s="59">
        <v>132.80000000000001</v>
      </c>
    </row>
    <row r="134" spans="1:12" x14ac:dyDescent="0.2">
      <c r="B134" s="54"/>
      <c r="C134" s="61" t="s">
        <v>312</v>
      </c>
      <c r="D134" s="60">
        <v>79.7</v>
      </c>
      <c r="E134" s="59">
        <v>86</v>
      </c>
      <c r="F134" s="59">
        <v>96.9</v>
      </c>
      <c r="G134" s="59">
        <v>82.3</v>
      </c>
      <c r="H134" s="59">
        <v>72.2</v>
      </c>
      <c r="I134" s="59">
        <v>70.8</v>
      </c>
      <c r="J134" s="59">
        <v>114.6</v>
      </c>
      <c r="K134" s="59">
        <v>80.2</v>
      </c>
      <c r="L134" s="59">
        <v>132.19999999999999</v>
      </c>
    </row>
    <row r="135" spans="1:12" x14ac:dyDescent="0.2">
      <c r="B135" s="54"/>
      <c r="C135" s="61" t="s">
        <v>311</v>
      </c>
      <c r="D135" s="60">
        <v>77.8</v>
      </c>
      <c r="E135" s="59">
        <v>85.4</v>
      </c>
      <c r="F135" s="59">
        <v>96.1</v>
      </c>
      <c r="G135" s="59">
        <v>83.4</v>
      </c>
      <c r="H135" s="59">
        <v>72.7</v>
      </c>
      <c r="I135" s="59">
        <v>69.7</v>
      </c>
      <c r="J135" s="59">
        <v>108.1</v>
      </c>
      <c r="K135" s="59">
        <v>80.5</v>
      </c>
      <c r="L135" s="59">
        <v>125.2</v>
      </c>
    </row>
    <row r="136" spans="1:12" x14ac:dyDescent="0.2">
      <c r="D136" s="62"/>
    </row>
    <row r="137" spans="1:12" x14ac:dyDescent="0.2">
      <c r="B137" s="54"/>
      <c r="C137" s="61" t="s">
        <v>310</v>
      </c>
      <c r="D137" s="60">
        <v>76.7</v>
      </c>
      <c r="E137" s="59">
        <v>77.2</v>
      </c>
      <c r="F137" s="59">
        <v>98.8</v>
      </c>
      <c r="G137" s="59">
        <v>83.6</v>
      </c>
      <c r="H137" s="59">
        <v>72.5</v>
      </c>
      <c r="I137" s="59">
        <v>69.900000000000006</v>
      </c>
      <c r="J137" s="59">
        <v>110.5</v>
      </c>
      <c r="K137" s="59">
        <v>78.599999999999994</v>
      </c>
      <c r="L137" s="59">
        <v>125.9</v>
      </c>
    </row>
    <row r="138" spans="1:12" x14ac:dyDescent="0.2">
      <c r="B138" s="54"/>
      <c r="C138" s="61" t="s">
        <v>309</v>
      </c>
      <c r="D138" s="60">
        <v>75.400000000000006</v>
      </c>
      <c r="E138" s="59">
        <v>81.3</v>
      </c>
      <c r="F138" s="59">
        <v>100</v>
      </c>
      <c r="G138" s="59">
        <v>79.7</v>
      </c>
      <c r="H138" s="59">
        <v>72</v>
      </c>
      <c r="I138" s="59">
        <v>70.7</v>
      </c>
      <c r="J138" s="59">
        <v>100.9</v>
      </c>
      <c r="K138" s="59">
        <v>78.099999999999994</v>
      </c>
      <c r="L138" s="59">
        <v>135.5</v>
      </c>
    </row>
    <row r="139" spans="1:12" x14ac:dyDescent="0.2">
      <c r="B139" s="54"/>
      <c r="C139" s="61" t="s">
        <v>308</v>
      </c>
      <c r="D139" s="60">
        <v>76.2</v>
      </c>
      <c r="E139" s="59">
        <v>84.8</v>
      </c>
      <c r="F139" s="59">
        <v>97.8</v>
      </c>
      <c r="G139" s="59">
        <v>79</v>
      </c>
      <c r="H139" s="59">
        <v>70.099999999999994</v>
      </c>
      <c r="I139" s="59">
        <v>72.3</v>
      </c>
      <c r="J139" s="59">
        <v>109.3</v>
      </c>
      <c r="K139" s="59">
        <v>76.8</v>
      </c>
      <c r="L139" s="59">
        <v>127.3</v>
      </c>
    </row>
    <row r="140" spans="1:12" ht="18" thickBot="1" x14ac:dyDescent="0.25">
      <c r="B140" s="58"/>
      <c r="C140" s="58"/>
      <c r="D140" s="57"/>
      <c r="E140" s="56"/>
      <c r="F140" s="56"/>
      <c r="G140" s="56"/>
      <c r="H140" s="56"/>
      <c r="I140" s="56"/>
      <c r="J140" s="56"/>
      <c r="K140" s="56"/>
      <c r="L140" s="56"/>
    </row>
    <row r="141" spans="1:12" x14ac:dyDescent="0.2">
      <c r="B141" s="54"/>
      <c r="C141" s="54"/>
      <c r="D141" s="55" t="s">
        <v>307</v>
      </c>
      <c r="E141" s="54"/>
      <c r="F141" s="54"/>
      <c r="G141" s="54"/>
      <c r="H141" s="54"/>
      <c r="I141" s="54"/>
      <c r="J141" s="54"/>
      <c r="K141" s="54"/>
      <c r="L141" s="54"/>
    </row>
    <row r="142" spans="1:12" x14ac:dyDescent="0.2">
      <c r="A142" s="55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</row>
  </sheetData>
  <phoneticPr fontId="5"/>
  <pageMargins left="0.4" right="0.6" top="0.56999999999999995" bottom="0.51" header="0.51200000000000001" footer="0.51200000000000001"/>
  <pageSetup paperSize="12" scale="75" orientation="portrait" horizontalDpi="4294967292" verticalDpi="0" r:id="rId1"/>
  <headerFooter alignWithMargins="0"/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I01-鉱業</vt:lpstr>
      <vt:lpstr>I03-製造</vt:lpstr>
      <vt:lpstr>I05-町村</vt:lpstr>
      <vt:lpstr>I06-薬品</vt:lpstr>
      <vt:lpstr>I07-酒類</vt:lpstr>
      <vt:lpstr>I08-IIP</vt:lpstr>
      <vt:lpstr>'I01-鉱業'!Print_Area</vt:lpstr>
      <vt:lpstr>'I03-製造'!Print_Area</vt:lpstr>
      <vt:lpstr>'I05-町村'!Print_Area</vt:lpstr>
      <vt:lpstr>'I06-薬品'!Print_Area</vt:lpstr>
      <vt:lpstr>'I07-酒類'!Print_Area</vt:lpstr>
      <vt:lpstr>'I08-IIP'!Print_Area</vt:lpstr>
      <vt:lpstr>'I01-鉱業'!Print_Area_MI</vt:lpstr>
      <vt:lpstr>'I03-製造'!Print_Area_MI</vt:lpstr>
      <vt:lpstr>'I05-町村'!Print_Area_MI</vt:lpstr>
      <vt:lpstr>'I06-薬品'!Print_Area_MI</vt:lpstr>
      <vt:lpstr>'I07-酒類'!Print_Area_MI</vt:lpstr>
      <vt:lpstr>'I08-IIP'!Print_Area_MI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2002-04-02T10:12:41Z</cp:lastPrinted>
  <dcterms:created xsi:type="dcterms:W3CDTF">2000-08-23T09:16:24Z</dcterms:created>
  <dcterms:modified xsi:type="dcterms:W3CDTF">2018-06-22T05:47:29Z</dcterms:modified>
</cp:coreProperties>
</file>