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Y:\09 施設福祉班\109処遇改善加算\06_R06\01_基本的考え方通知の改正（様式の簡素化等）\様式集\ＨＰ掲載\"/>
    </mc:Choice>
  </mc:AlternateContent>
  <bookViews>
    <workbookView xWindow="31230" yWindow="2115" windowWidth="21600" windowHeight="11385"/>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T60" i="18"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<sst xmlns="http://schemas.openxmlformats.org/spreadsheetml/2006/main" count="6514" uniqueCount="2397">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</sst>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0" borderId="139" xfId="0" applyFont="1" applyBorder="1" applyAlignment="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3"/>
              <a:ext cx="304800" cy="714376"/>
              <a:chOff x="4470327" y="4496267"/>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8"/>
              <a:ext cx="304806" cy="695328"/>
              <a:chOff x="4540192" y="5456624"/>
              <a:chExt cx="308373" cy="759871"/>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1"/>
              <a:ext cx="304800" cy="371482"/>
              <a:chOff x="5753695" y="8927968"/>
              <a:chExt cx="301792" cy="494759"/>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80"/>
              <a:ext cx="304806" cy="685804"/>
              <a:chOff x="4540192" y="6438952"/>
              <a:chExt cx="308373" cy="779251"/>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58" y="8239129"/>
              <a:ext cx="228604" cy="695311"/>
              <a:chOff x="5754598" y="8167936"/>
              <a:chExt cx="225534" cy="793288"/>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4993"/>
              <a:ext cx="304800" cy="714374"/>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18"/>
              <a:ext cx="228601" cy="704946"/>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73" y="8229597"/>
              <a:ext cx="200025" cy="742958"/>
              <a:chOff x="4529959" y="8163158"/>
              <a:chExt cx="208417" cy="748003"/>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2" y="7391395"/>
              <a:ext cx="304806" cy="714379"/>
              <a:chOff x="5801278" y="7286484"/>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45"/>
              <a:ext cx="304800" cy="685799"/>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3"/>
              <a:ext cx="304800" cy="714376"/>
              <a:chOff x="4470327" y="4496267"/>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8"/>
              <a:ext cx="304806" cy="695328"/>
              <a:chOff x="4540192" y="5456624"/>
              <a:chExt cx="308373" cy="759871"/>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1"/>
              <a:ext cx="304800" cy="371482"/>
              <a:chOff x="5753695" y="8927968"/>
              <a:chExt cx="301792" cy="494759"/>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80"/>
              <a:ext cx="304806" cy="685804"/>
              <a:chOff x="4540192" y="6438952"/>
              <a:chExt cx="308373" cy="779251"/>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58" y="8239129"/>
              <a:ext cx="228604" cy="695311"/>
              <a:chOff x="5754598" y="8167936"/>
              <a:chExt cx="225534" cy="793288"/>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4993"/>
              <a:ext cx="304800" cy="714374"/>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18"/>
              <a:ext cx="228601" cy="704946"/>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73" y="8229597"/>
              <a:ext cx="200025" cy="742958"/>
              <a:chOff x="4529959" y="8163158"/>
              <a:chExt cx="208417" cy="748003"/>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2" y="7391395"/>
              <a:ext cx="304806" cy="714379"/>
              <a:chOff x="5801278" y="7286484"/>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45"/>
              <a:ext cx="304800" cy="685799"/>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8"/>
              <a:chExt cx="303832" cy="48692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5"/>
              <a:chExt cx="301792" cy="78010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9"/>
              <a:chExt cx="301792" cy="49476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94" y="8168748"/>
              <a:chExt cx="21761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8" y="8166017"/>
              <a:chExt cx="208649" cy="74979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28"/>
              <a:chExt cx="303832" cy="48692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5"/>
              <a:chExt cx="301792" cy="78010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8"/>
              <a:chExt cx="308371" cy="76286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19"/>
              <a:chExt cx="301792" cy="494768"/>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94" y="8168748"/>
              <a:chExt cx="217610"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8" y="8166017"/>
              <a:chExt cx="208649" cy="749793"/>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4"/>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28"/>
              <a:chExt cx="303832" cy="486923"/>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55"/>
              <a:chExt cx="301792" cy="78010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8"/>
              <a:chExt cx="308371" cy="76286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19"/>
              <a:chExt cx="301792" cy="494768"/>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594" y="8168748"/>
              <a:chExt cx="217610"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8" y="8166017"/>
              <a:chExt cx="208649" cy="749793"/>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4"/>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8"/>
              <a:chExt cx="303832" cy="48692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5"/>
              <a:chExt cx="301792" cy="78010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8"/>
              <a:chExt cx="308371" cy="76286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19"/>
              <a:chExt cx="301792" cy="494768"/>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94" y="8168748"/>
              <a:chExt cx="217610"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8" y="8166017"/>
              <a:chExt cx="208649" cy="749793"/>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4"/>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3"/>
              <a:ext cx="304800" cy="714376"/>
              <a:chOff x="4470327" y="4496267"/>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8"/>
              <a:ext cx="304806" cy="695328"/>
              <a:chOff x="4540192" y="5456624"/>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1"/>
              <a:ext cx="304800" cy="371482"/>
              <a:chOff x="5753695" y="8927968"/>
              <a:chExt cx="301792" cy="494759"/>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80"/>
              <a:ext cx="304806" cy="685804"/>
              <a:chOff x="4540192" y="6438952"/>
              <a:chExt cx="308373" cy="779251"/>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58" y="8239129"/>
              <a:ext cx="228604" cy="695311"/>
              <a:chOff x="5754598" y="8167936"/>
              <a:chExt cx="225534"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97"/>
              <a:ext cx="200025" cy="742958"/>
              <a:chOff x="4529959" y="8163158"/>
              <a:chExt cx="208417" cy="748003"/>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8" y="7286484"/>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3"/>
              <a:ext cx="304800" cy="714376"/>
              <a:chOff x="4470327" y="4496267"/>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8"/>
              <a:ext cx="304806" cy="695328"/>
              <a:chOff x="4540192" y="5456624"/>
              <a:chExt cx="308373" cy="759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1"/>
              <a:ext cx="304800" cy="371482"/>
              <a:chOff x="5753695" y="8927968"/>
              <a:chExt cx="301792" cy="494759"/>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80"/>
              <a:ext cx="304806" cy="685804"/>
              <a:chOff x="4540192" y="6438952"/>
              <a:chExt cx="308373" cy="77925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58" y="8239129"/>
              <a:ext cx="228604" cy="695311"/>
              <a:chOff x="5754598" y="8167936"/>
              <a:chExt cx="225534" cy="793288"/>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4993"/>
              <a:ext cx="304800" cy="714374"/>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18"/>
              <a:ext cx="228601" cy="704946"/>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73" y="8229597"/>
              <a:ext cx="200025" cy="742958"/>
              <a:chOff x="4529959" y="8163158"/>
              <a:chExt cx="208417" cy="748003"/>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2" y="7391395"/>
              <a:ext cx="304806" cy="714379"/>
              <a:chOff x="5801278" y="7286484"/>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45"/>
              <a:ext cx="304800" cy="685799"/>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3"/>
              <a:ext cx="304800" cy="714376"/>
              <a:chOff x="4470327" y="4496267"/>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8"/>
              <a:ext cx="304806" cy="695328"/>
              <a:chOff x="4540192" y="5456624"/>
              <a:chExt cx="308373" cy="759871"/>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1"/>
              <a:ext cx="304800" cy="371482"/>
              <a:chOff x="5753695" y="8927968"/>
              <a:chExt cx="301792" cy="494759"/>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80"/>
              <a:ext cx="304806" cy="685804"/>
              <a:chOff x="4540192" y="6438952"/>
              <a:chExt cx="308373" cy="779251"/>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58" y="8239129"/>
              <a:ext cx="228604" cy="695311"/>
              <a:chOff x="5754598" y="8167936"/>
              <a:chExt cx="225534" cy="793288"/>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4993"/>
              <a:ext cx="304800" cy="714374"/>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18"/>
              <a:ext cx="228601" cy="704946"/>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73" y="8229597"/>
              <a:ext cx="200025" cy="742958"/>
              <a:chOff x="4529959" y="8163158"/>
              <a:chExt cx="208417" cy="748003"/>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2" y="7391395"/>
              <a:ext cx="304806" cy="714379"/>
              <a:chOff x="5801278" y="7286484"/>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45"/>
              <a:ext cx="304800" cy="685799"/>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3"/>
              <a:ext cx="304800" cy="714376"/>
              <a:chOff x="4470327" y="4496267"/>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8"/>
              <a:ext cx="304806" cy="695328"/>
              <a:chOff x="4540192" y="5456624"/>
              <a:chExt cx="308373" cy="759871"/>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1"/>
              <a:ext cx="304800" cy="371482"/>
              <a:chOff x="5753695" y="8927968"/>
              <a:chExt cx="301792" cy="494759"/>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80"/>
              <a:ext cx="304806" cy="685804"/>
              <a:chOff x="4540192" y="6438952"/>
              <a:chExt cx="308373" cy="779251"/>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58" y="8239129"/>
              <a:ext cx="228604" cy="695311"/>
              <a:chOff x="5754598" y="8167936"/>
              <a:chExt cx="225534" cy="793288"/>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4993"/>
              <a:ext cx="304800" cy="714374"/>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18"/>
              <a:ext cx="228601" cy="704946"/>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73" y="8229597"/>
              <a:ext cx="200025" cy="742958"/>
              <a:chOff x="4529959" y="8163158"/>
              <a:chExt cx="208417" cy="748003"/>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2" y="7391395"/>
              <a:ext cx="304806" cy="714379"/>
              <a:chOff x="5801278" y="7286484"/>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45"/>
              <a:ext cx="304800" cy="685799"/>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250"/>
  <sheetViews>
    <sheetView tabSelected="1" view="pageBreakPreview" zoomScaleNormal="120" zoomScaleSheetLayoutView="100" zoomScalePageLayoutView="64" workbookViewId="0">
      <selection activeCell="H12" sqref="H12:AK1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algorithmName="SHA-512" hashValue="h3okVmGUAtLmj22dJ+nOWeNBJYEIDZt9UGarnv30pHTHIWio3ziEjgRhryqJ/8nOZ6PERb4fkBm7xxPr7nWVRQ==" saltValue="5E4aLgvt0722rIB2XiisSg==" spinCount="100000" sheet="1"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hyperlinks>
    <hyperlink ref="Z13" r:id="rId1"/>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J73"/>
  <sheetViews>
    <sheetView showGridLines="0" view="pageBreakPreview" topLeftCell="F1" zoomScaleNormal="53" zoomScaleSheetLayoutView="100" workbookViewId="0">
      <selection activeCell="AQ14" sqref="AQ1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2332</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2333</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18" t="s">
        <v>224</v>
      </c>
      <c r="B2" s="1220" t="s">
        <v>2239</v>
      </c>
      <c r="C2" s="1221"/>
      <c r="D2" s="1221"/>
      <c r="E2" s="1222"/>
      <c r="F2" s="1223" t="s">
        <v>2240</v>
      </c>
      <c r="G2" s="1224"/>
      <c r="H2" s="1224"/>
      <c r="I2" s="1218" t="s">
        <v>2241</v>
      </c>
      <c r="J2" s="1225"/>
      <c r="K2" s="1228" t="s">
        <v>2242</v>
      </c>
      <c r="L2" s="1229"/>
      <c r="M2" s="1229"/>
      <c r="N2" s="1229"/>
      <c r="O2" s="1229"/>
      <c r="P2" s="1229"/>
      <c r="Q2" s="1229"/>
      <c r="R2" s="1229"/>
      <c r="S2" s="1229"/>
      <c r="T2" s="1229"/>
      <c r="U2" s="1229"/>
      <c r="V2" s="1229"/>
      <c r="W2" s="1229"/>
      <c r="X2" s="1229"/>
      <c r="Y2" s="1229"/>
      <c r="Z2" s="1229"/>
      <c r="AA2" s="1229"/>
      <c r="AB2" s="1230"/>
      <c r="AC2" s="1248" t="s">
        <v>2243</v>
      </c>
      <c r="AD2" s="449"/>
      <c r="AE2" s="1244" t="s">
        <v>224</v>
      </c>
      <c r="AF2" s="1246" t="s">
        <v>2277</v>
      </c>
      <c r="AH2" s="444" t="s">
        <v>2244</v>
      </c>
      <c r="AI2" s="445" t="s">
        <v>2244</v>
      </c>
      <c r="AK2" s="451" t="s">
        <v>181</v>
      </c>
      <c r="AM2" s="451" t="s">
        <v>16</v>
      </c>
      <c r="AO2" s="452" t="s">
        <v>226</v>
      </c>
      <c r="AQ2" s="1238" t="s">
        <v>2008</v>
      </c>
      <c r="AR2" s="1241" t="s">
        <v>225</v>
      </c>
    </row>
    <row r="3" spans="1:44" ht="51.75" customHeight="1" thickBot="1">
      <c r="A3" s="1219"/>
      <c r="B3" s="1231" t="s">
        <v>228</v>
      </c>
      <c r="C3" s="1232"/>
      <c r="D3" s="1232"/>
      <c r="E3" s="1233"/>
      <c r="F3" s="1234" t="s">
        <v>229</v>
      </c>
      <c r="G3" s="1234"/>
      <c r="H3" s="1234"/>
      <c r="I3" s="1226"/>
      <c r="J3" s="1227"/>
      <c r="K3" s="1235" t="s">
        <v>230</v>
      </c>
      <c r="L3" s="1236"/>
      <c r="M3" s="1236"/>
      <c r="N3" s="1236"/>
      <c r="O3" s="1236"/>
      <c r="P3" s="1236"/>
      <c r="Q3" s="1236"/>
      <c r="R3" s="1236"/>
      <c r="S3" s="1236"/>
      <c r="T3" s="1236"/>
      <c r="U3" s="1236"/>
      <c r="V3" s="1236"/>
      <c r="W3" s="1236"/>
      <c r="X3" s="1236"/>
      <c r="Y3" s="1236"/>
      <c r="Z3" s="1236"/>
      <c r="AA3" s="1236"/>
      <c r="AB3" s="1237"/>
      <c r="AC3" s="1249"/>
      <c r="AD3" s="449"/>
      <c r="AE3" s="1245"/>
      <c r="AF3" s="1247"/>
      <c r="AH3" s="443" t="s">
        <v>2245</v>
      </c>
      <c r="AI3" s="446" t="s">
        <v>2245</v>
      </c>
      <c r="AK3" s="453"/>
      <c r="AM3" s="453"/>
      <c r="AO3" s="454" t="s">
        <v>18</v>
      </c>
      <c r="AQ3" s="1239"/>
      <c r="AR3" s="1242"/>
    </row>
    <row r="4" spans="1:44" ht="41.25" customHeight="1" thickBot="1">
      <c r="A4" s="1219"/>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50"/>
      <c r="AD4" s="449"/>
      <c r="AE4" s="1245"/>
      <c r="AF4" s="1247"/>
      <c r="AH4" s="443" t="s">
        <v>2280</v>
      </c>
      <c r="AI4" s="446" t="s">
        <v>2280</v>
      </c>
      <c r="AO4" s="454" t="s">
        <v>237</v>
      </c>
      <c r="AQ4" s="1240"/>
      <c r="AR4" s="124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6" t="s">
        <v>2037</v>
      </c>
      <c r="N3" s="1256" t="s">
        <v>2038</v>
      </c>
      <c r="O3" s="1256" t="s">
        <v>2039</v>
      </c>
      <c r="P3" s="1256" t="s">
        <v>2040</v>
      </c>
      <c r="Q3" s="1256" t="s">
        <v>2041</v>
      </c>
      <c r="R3" s="1256" t="s">
        <v>2042</v>
      </c>
      <c r="S3" s="1256" t="s">
        <v>2043</v>
      </c>
    </row>
    <row r="4" spans="2:19">
      <c r="B4" s="1252"/>
      <c r="C4" s="1251"/>
      <c r="D4" s="1251"/>
      <c r="E4" s="1251"/>
      <c r="F4" s="1254"/>
      <c r="G4" s="1251"/>
      <c r="H4" s="1251"/>
      <c r="I4" s="1251"/>
      <c r="J4" s="1251"/>
      <c r="K4" s="1251"/>
      <c r="L4" s="1251"/>
      <c r="M4" s="1256"/>
      <c r="N4" s="1256"/>
      <c r="O4" s="1256"/>
      <c r="P4" s="1256"/>
      <c r="Q4" s="1256"/>
      <c r="R4" s="1256"/>
      <c r="S4" s="1256"/>
    </row>
    <row r="5" spans="2:19">
      <c r="B5" s="1252"/>
      <c r="C5" s="1251"/>
      <c r="D5" s="1251"/>
      <c r="E5" s="1251"/>
      <c r="F5" s="1255"/>
      <c r="G5" s="1251"/>
      <c r="H5" s="1251"/>
      <c r="I5" s="1251"/>
      <c r="J5" s="1251"/>
      <c r="K5" s="1251"/>
      <c r="L5" s="1251"/>
      <c r="M5" s="1256"/>
      <c r="N5" s="1256"/>
      <c r="O5" s="1256"/>
      <c r="P5" s="1256"/>
      <c r="Q5" s="1256"/>
      <c r="R5" s="1256"/>
      <c r="S5" s="1256"/>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2.5">
      <c r="B25" s="20"/>
      <c r="C25" s="20"/>
      <c r="D25" s="20"/>
      <c r="E25" s="20"/>
      <c r="F25" s="20"/>
      <c r="G25" s="20"/>
      <c r="H25" s="19"/>
      <c r="L25" s="25">
        <v>1</v>
      </c>
      <c r="M25" s="20"/>
      <c r="N25" s="20"/>
      <c r="O25" s="20"/>
      <c r="P25" s="20"/>
      <c r="Q25" s="30" t="s">
        <v>2044</v>
      </c>
      <c r="R25" s="30" t="s">
        <v>2045</v>
      </c>
      <c r="S25" s="30" t="s">
        <v>2044</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J73"/>
  <sheetViews>
    <sheetView showGridLines="0" view="pageBreakPreview" topLeftCell="F1" zoomScaleNormal="53" zoomScaleSheetLayoutView="100" workbookViewId="0">
      <selection activeCell="AU8" sqref="AU8:AU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2119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処遇加算Ⅰ特定加算Ⅰベア加算なし</v>
      </c>
      <c r="AT1" s="1036"/>
      <c r="AU1" s="1036"/>
      <c r="AV1" s="1036"/>
      <c r="AW1" s="1036"/>
      <c r="AX1" s="1036"/>
      <c r="AY1" s="1036"/>
      <c r="AZ1" s="1036"/>
      <c r="BA1" s="1036"/>
      <c r="BB1" s="1036"/>
      <c r="BC1" s="1036"/>
      <c r="BD1" s="1036"/>
      <c r="BE1" s="1037"/>
      <c r="BF1" s="1034" t="str">
        <f>IFERROR(VLOOKUP(Y5,【参考】数式用!$AH$2:$AI$34,2,FALSE),"")</f>
        <v>施設入所支援</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76"/>
      <c r="AR2" s="76"/>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2345</v>
      </c>
      <c r="Q5" s="1010"/>
      <c r="R5" s="1010"/>
      <c r="S5" s="1010"/>
      <c r="T5" s="1010"/>
      <c r="U5" s="1010"/>
      <c r="V5" s="1010"/>
      <c r="W5" s="1010"/>
      <c r="X5" s="1011"/>
      <c r="Y5" s="1087" t="s">
        <v>2250</v>
      </c>
      <c r="Z5" s="1087"/>
      <c r="AA5" s="1087"/>
      <c r="AB5" s="1087"/>
      <c r="AC5" s="1087"/>
      <c r="AD5" s="1087"/>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v>
      </c>
      <c r="AY8" s="1206" t="str">
        <f>IF(OR(V8="新加算Ⅰ",V8="新加算Ⅴ(１)",V8="新加算Ⅴ(２)",V8="新加算Ⅴ(５)",V8="新加算Ⅴ(７)",V8="新加算Ⅴ(10)"),"○","")</f>
        <v>○</v>
      </c>
      <c r="AZ8" s="1206" t="str">
        <f>IF(OR(V8="新加算Ⅰ",V8="新加算Ⅱ",V8="新加算Ⅴ(１)",V8="新加算Ⅴ(２)",V8="新加算Ⅴ(３)",V8="新加算Ⅴ(４)",V8="新加算Ⅴ(５)",V8="新加算Ⅴ(６)",V8="新加算Ⅴ(７)",V8="新加算Ⅴ(９)",V8="新加算Ⅴ(10)",V8="新加算Ⅴ(12)"),"○","")</f>
        <v>○</v>
      </c>
      <c r="BA8" s="84"/>
      <c r="CE8" s="1213" t="s">
        <v>2188</v>
      </c>
      <c r="CF8" s="1213"/>
      <c r="CG8" s="1213"/>
      <c r="CH8" s="1213"/>
      <c r="CI8" s="990" t="str">
        <f>IF(AND(AP62=1,AL41=""),1,"")</f>
        <v/>
      </c>
      <c r="CJ8" s="991"/>
    </row>
    <row r="9" spans="1:88" ht="26.25" customHeight="1">
      <c r="B9" s="1125" t="s">
        <v>7</v>
      </c>
      <c r="C9" s="1126"/>
      <c r="D9" s="1126"/>
      <c r="E9" s="1126"/>
      <c r="F9" s="1127"/>
      <c r="G9" s="1128" t="s">
        <v>234</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f>IF(OR(AH62=1,AP62=1),1,"")</f>
        <v>1</v>
      </c>
      <c r="CJ9" s="991"/>
    </row>
    <row r="10" spans="1:88" ht="11.25" customHeight="1">
      <c r="B10" s="1134">
        <f>IFERROR(VLOOKUP(Y5,【参考】数式用!$A$5:$J$37,MATCH(B9,【参考】数式用!$B$4:$J$4,0)+1,0),"")</f>
        <v>8.5999999999999993E-2</v>
      </c>
      <c r="C10" s="1135"/>
      <c r="D10" s="1135"/>
      <c r="E10" s="1135"/>
      <c r="F10" s="1136"/>
      <c r="G10" s="1134">
        <f>IFERROR(VLOOKUP(Y5,【参考】数式用!$A$5:$J$37,MATCH(G9,【参考】数式用!$B$4:$J$4,0)+1,0),"")</f>
        <v>2.1000000000000001E-2</v>
      </c>
      <c r="H10" s="1135"/>
      <c r="I10" s="1135"/>
      <c r="J10" s="1135"/>
      <c r="K10" s="1136"/>
      <c r="L10" s="1140">
        <f>IFERROR(VLOOKUP(Y5,【参考】数式用!$A$5:$J$37,MATCH(L9,【参考】数式用!$B$4:$J$4,0)+1,0),"")</f>
        <v>0</v>
      </c>
      <c r="M10" s="1141"/>
      <c r="N10" s="1141"/>
      <c r="O10" s="1141"/>
      <c r="P10" s="1142"/>
      <c r="Q10" s="1146">
        <f>SUM(B10,G10,L10)</f>
        <v>0.107</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新加算Ⅴ(１)</v>
      </c>
      <c r="W11" s="1076"/>
      <c r="X11" s="1076"/>
      <c r="Y11" s="1076"/>
      <c r="Z11" s="1076"/>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v>
      </c>
      <c r="AX11" s="1206" t="str">
        <f>IF(OR(V11="新加算Ⅰ",V11="新加算Ⅱ",V11="新加算Ⅴ(１)",V11="新加算Ⅴ(２)",V11="新加算Ⅴ(３)",V11="新加算Ⅴ(４)",V11="新加算Ⅴ(５)",V11="新加算Ⅴ(６)",V11="新加算Ⅴ(７)",V11="新加算Ⅴ(９)",V11="新加算Ⅴ(10)",V11="新加算Ⅴ(12)"),"○","")</f>
        <v>○</v>
      </c>
      <c r="AY11" s="1206" t="str">
        <f>IF(OR(V11="新加算Ⅰ",V11="新加算Ⅴ(１)",V11="新加算Ⅴ(２)",V11="新加算Ⅴ(５)",V11="新加算Ⅴ(７)",V11="新加算Ⅴ(10)"),"○","")</f>
        <v>○</v>
      </c>
      <c r="AZ11" s="1206"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0.13100000000000001</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102"/>
      <c r="V14" s="1076" t="str">
        <f>IFERROR(IF(VLOOKUP(AS1,【参考】数式用2!E6:L23,7,FALSE)="","",VLOOKUP(AS1,【参考】数式用2!E6:L23,7,FALSE)),"")</f>
        <v/>
      </c>
      <c r="W14" s="1076"/>
      <c r="X14" s="1076"/>
      <c r="Y14" s="1076"/>
      <c r="Z14" s="1076"/>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103" t="s">
        <v>2111</v>
      </c>
      <c r="F15" s="54">
        <v>4</v>
      </c>
      <c r="G15" s="103" t="s">
        <v>2112</v>
      </c>
      <c r="H15" s="1060" t="s">
        <v>2113</v>
      </c>
      <c r="I15" s="1060"/>
      <c r="J15" s="1073"/>
      <c r="K15" s="54">
        <v>7</v>
      </c>
      <c r="L15" s="103" t="s">
        <v>2111</v>
      </c>
      <c r="M15" s="54">
        <v>3</v>
      </c>
      <c r="N15" s="103" t="s">
        <v>2112</v>
      </c>
      <c r="O15" s="103" t="s">
        <v>2114</v>
      </c>
      <c r="P15" s="104">
        <f>(K15*12+M15)-(D15*12+F15)+1</f>
        <v>12</v>
      </c>
      <c r="Q15" s="1060" t="s">
        <v>2115</v>
      </c>
      <c r="R15" s="1060"/>
      <c r="S15" s="105" t="s">
        <v>69</v>
      </c>
      <c r="U15" s="102"/>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11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119" t="str">
        <f>IFERROR(IF(OR(B9="処遇加算Ⅰ",B9="処遇加算Ⅱ"),"✓",""),"")</f>
        <v>✓</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11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11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119" t="str">
        <f>IFERROR(IF(OR(B9="処遇加算Ⅰ",B9="処遇加算Ⅱ"),"✓",""),"")</f>
        <v>✓</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11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11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119" t="str">
        <f>IFERROR(IF(B9="処遇加算Ⅰ","✓",""),"")</f>
        <v>✓</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11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119" t="str">
        <f>IFERROR(IF(OR(G9="特定加算Ⅰ",G9="特定加算Ⅱ"),"✓",""),"")</f>
        <v>✓</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119" t="str">
        <f>IFERROR(IF(G9="特定加算なし","✓",""),"")</f>
        <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対象加算なし（自動的に要件を満たす）</v>
      </c>
      <c r="H40" s="1078"/>
      <c r="I40" s="1078"/>
      <c r="J40" s="1078"/>
      <c r="K40" s="1078"/>
      <c r="L40" s="1078"/>
      <c r="M40" s="1078"/>
      <c r="N40" s="1078"/>
      <c r="O40" s="1078"/>
      <c r="P40" s="1078"/>
      <c r="Q40" s="1078"/>
      <c r="R40" s="1078"/>
      <c r="S40" s="1078"/>
      <c r="T40" s="1079"/>
      <c r="U40" s="92"/>
      <c r="V40" s="119" t="str">
        <f>IFERROR(IF(G9="特定加算Ⅰ","✓",""),"")</f>
        <v>✓</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119" t="str">
        <f>IFERROR(IF(OR(G9="特定加算Ⅱ",G9="特定加算なし"),"✓",""),"")</f>
        <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119" t="str">
        <f>IFERROR(IF(OR(G9="特定加算Ⅰ",G9="特定加算Ⅱ"),"✓",""),"")</f>
        <v>✓</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11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特定加算Ⅰ</v>
      </c>
      <c r="AX48" s="1042"/>
      <c r="AY48" s="1042"/>
      <c r="AZ48" s="1042"/>
      <c r="BA48" s="1041" t="str">
        <f>IFERROR(IF(OR(L9="ベア加算",AP57=1),"ベア加算",IF(AP57=2,"ベア加算なし","")),"")</f>
        <v>ベア加算</v>
      </c>
      <c r="BB48" s="1041"/>
      <c r="BC48" s="1041"/>
      <c r="BD48" s="1041"/>
      <c r="BE48" s="1043" t="str">
        <f>AS48&amp;AW48&amp;BA48</f>
        <v>処遇加算Ⅰ特定加算Ⅰベア加算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特定加算Ⅰ</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新加算Ⅰ</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8.5999999999999993E-2</v>
      </c>
      <c r="H50" s="1178"/>
      <c r="I50" s="1178"/>
      <c r="J50" s="1178"/>
      <c r="K50" s="1179"/>
      <c r="L50" s="1180">
        <f>IFERROR(VLOOKUP(Y5,【参考】数式用!$A$5:$J$37,MATCH(L49,【参考】数式用!$B$4:$J$4,0)+1,0),"")</f>
        <v>2.1000000000000001E-2</v>
      </c>
      <c r="M50" s="1181"/>
      <c r="N50" s="1181"/>
      <c r="O50" s="1181"/>
      <c r="P50" s="1182"/>
      <c r="Q50" s="1183">
        <f>IFERROR(VLOOKUP(Y5,【参考】数式用!$A$5:$J$37,MATCH(Q49,【参考】数式用!$B$4:$J$4,0)+1,0),"")</f>
        <v>2.8000000000000001E-2</v>
      </c>
      <c r="R50" s="1178"/>
      <c r="S50" s="1178"/>
      <c r="T50" s="1178"/>
      <c r="U50" s="1184"/>
      <c r="V50" s="1146">
        <f>SUM(G50,L50,Q50)</f>
        <v>0.13500000000000001</v>
      </c>
      <c r="W50" s="1147"/>
      <c r="X50" s="1147"/>
      <c r="Y50" s="1147"/>
      <c r="Z50" s="1147"/>
      <c r="AA50" s="1033"/>
      <c r="AB50" s="1033"/>
      <c r="AC50" s="1185">
        <f>IFERROR(VLOOKUP(Y5,【参考】数式用!$A$5:$AB$37,MATCH(AC49,【参考】数式用!$B$4:$AB$4,0)+1,FALSE),"")</f>
        <v>0.159</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318200</v>
      </c>
      <c r="H51" s="1093"/>
      <c r="I51" s="1093"/>
      <c r="J51" s="1093"/>
      <c r="K51" s="55" t="s">
        <v>2117</v>
      </c>
      <c r="L51" s="1090">
        <f>IFERROR(ROUNDDOWN(ROUND(AM5*L50,0),0)*H53,"")</f>
        <v>77700</v>
      </c>
      <c r="M51" s="1091"/>
      <c r="N51" s="1091"/>
      <c r="O51" s="1091"/>
      <c r="P51" s="55" t="s">
        <v>2117</v>
      </c>
      <c r="Q51" s="1092">
        <f>IFERROR(ROUNDDOWN(ROUND(AM5*Q50,0),0)*H53,"")</f>
        <v>103600</v>
      </c>
      <c r="R51" s="1093"/>
      <c r="S51" s="1093"/>
      <c r="T51" s="1093"/>
      <c r="U51" s="56" t="s">
        <v>2117</v>
      </c>
      <c r="V51" s="1193">
        <f>IFERROR(SUM(G51,L51,Q51),"")</f>
        <v>499500</v>
      </c>
      <c r="W51" s="1194"/>
      <c r="X51" s="1194"/>
      <c r="Y51" s="1194"/>
      <c r="Z51" s="57" t="s">
        <v>2117</v>
      </c>
      <c r="AB51" s="58"/>
      <c r="AC51" s="1092">
        <f>IFERROR(ROUNDDOWN(ROUND(AM5*AC50,0),0)*AD53,"")</f>
        <v>2941500</v>
      </c>
      <c r="AD51" s="1093"/>
      <c r="AE51" s="1093"/>
      <c r="AF51" s="1093"/>
      <c r="AG51" s="1093"/>
      <c r="AH51" s="56" t="s">
        <v>2117</v>
      </c>
      <c r="AS51" s="1044">
        <f>IFERROR(ROUNDDOWN(ROUND(AM5*(G50-B10),0),0)*H53,"")</f>
        <v>0</v>
      </c>
      <c r="AT51" s="1044"/>
      <c r="AU51" s="1044"/>
      <c r="AV51" s="1044"/>
      <c r="AW51" s="1044">
        <f>IFERROR(ROUNDDOWN(ROUND(AM5*(L50-G10),0),0)*H53,"")</f>
        <v>0</v>
      </c>
      <c r="AX51" s="1044"/>
      <c r="AY51" s="1044"/>
      <c r="AZ51" s="1044"/>
      <c r="BA51" s="1044">
        <f>IFERROR(ROUNDDOWN(ROUND(AM5*(Q50-L10),0),0)*H53,"")</f>
        <v>103600</v>
      </c>
      <c r="BB51" s="1044"/>
      <c r="BC51" s="1044"/>
      <c r="BD51" s="1044"/>
      <c r="BE51" s="1044">
        <f>IFERROR(ROUNDDOWN(ROUND(AM5*(AC50-Q10),0),0)*AD53,"")</f>
        <v>962000</v>
      </c>
      <c r="BF51" s="1044"/>
      <c r="BG51" s="1044"/>
      <c r="BH51" s="1044"/>
      <c r="BI51" s="1044">
        <f>SUM(AS51:BH51)</f>
        <v>1065600</v>
      </c>
      <c r="BJ51" s="1044"/>
      <c r="BK51" s="1044"/>
      <c r="BL51" s="1044"/>
      <c r="BM51" s="141"/>
      <c r="BN51" s="1044">
        <f>IFERROR(ROUNDDOWN(ROUNDDOWN(ROUND(AM5*(VLOOKUP(Y5,【参考】数式用!$A$5:$AB$37,14,FALSE)),0),0)*AD53*0.5,0),"")</f>
        <v>1063750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(159,100円/月)</v>
      </c>
      <c r="H52" s="1089"/>
      <c r="I52" s="1089"/>
      <c r="J52" s="1089"/>
      <c r="K52" s="1089"/>
      <c r="L52" s="1191" t="str">
        <f>IFERROR("("&amp;TEXT(L51/H53,"#,##0円")&amp;"/月)","")</f>
        <v>(38,850円/月)</v>
      </c>
      <c r="M52" s="1192"/>
      <c r="N52" s="1192"/>
      <c r="O52" s="1192"/>
      <c r="P52" s="1088"/>
      <c r="Q52" s="1089" t="str">
        <f>IFERROR("("&amp;TEXT(Q51/H53,"#,##0円")&amp;"/月)","")</f>
        <v>(51,800円/月)</v>
      </c>
      <c r="R52" s="1089"/>
      <c r="S52" s="1089"/>
      <c r="T52" s="1089"/>
      <c r="U52" s="1089"/>
      <c r="V52" s="1089" t="str">
        <f>IFERROR("("&amp;TEXT(V51/H53,"#,##0円")&amp;"/月)","")</f>
        <v>(249,750円/月)</v>
      </c>
      <c r="W52" s="1089"/>
      <c r="X52" s="1089"/>
      <c r="Y52" s="1089"/>
      <c r="Z52" s="1089"/>
      <c r="AB52" s="58"/>
      <c r="AC52" s="1191" t="str">
        <f>IFERROR("("&amp;TEXT(AC51/AD53,"#,##0円")&amp;"/月)","")</f>
        <v>(294,150円/月)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216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2055</v>
      </c>
      <c r="V57" s="1039"/>
      <c r="W57" s="1039"/>
      <c r="X57" s="1039"/>
      <c r="Y57" s="1039"/>
      <c r="Z57" s="152">
        <f>IF(AND(B9&lt;&gt;"処遇加算なし",F15=4),IF(V21="✓",1,IF(V22="✓",2,"")),"")</f>
        <v>2</v>
      </c>
      <c r="AA57" s="145"/>
      <c r="AB57" s="149"/>
      <c r="AC57" s="1039" t="s">
        <v>2055</v>
      </c>
      <c r="AD57" s="1039"/>
      <c r="AE57" s="1039"/>
      <c r="AF57" s="1039"/>
      <c r="AG57" s="1039"/>
      <c r="AH57" s="425">
        <f>IF(AND(F15&lt;&gt;4,F15&lt;&gt;5),0,IF(AT8="○",1,0))</f>
        <v>1</v>
      </c>
      <c r="AI57" s="153"/>
      <c r="AJ57" s="149"/>
      <c r="AK57" s="1039" t="s">
        <v>2055</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2056</v>
      </c>
      <c r="V58" s="1047"/>
      <c r="W58" s="1047"/>
      <c r="X58" s="1047"/>
      <c r="Y58" s="1047"/>
      <c r="Z58" s="152">
        <f>IF(AND(B9&lt;&gt;"処遇加算なし",F15=4),IF(V24="✓",1,IF(V25="✓",2,IF(V26="✓",3,""))),"")</f>
        <v>1</v>
      </c>
      <c r="AA58" s="145"/>
      <c r="AB58" s="149"/>
      <c r="AC58" s="1047" t="s">
        <v>2056</v>
      </c>
      <c r="AD58" s="1047"/>
      <c r="AE58" s="1047"/>
      <c r="AF58" s="1047"/>
      <c r="AG58" s="1047"/>
      <c r="AH58" s="425">
        <f>IF(AND(F15&lt;&gt;4,F15&lt;&gt;5),0,IF(AU8="○",1,3))</f>
        <v>1</v>
      </c>
      <c r="AI58" s="153"/>
      <c r="AJ58" s="149"/>
      <c r="AK58" s="1047" t="s">
        <v>2056</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2057</v>
      </c>
      <c r="V59" s="1047"/>
      <c r="W59" s="1047"/>
      <c r="X59" s="1047"/>
      <c r="Y59" s="1047"/>
      <c r="Z59" s="152">
        <f>IF(AND(B9&lt;&gt;"処遇加算なし",F15=4),IF(V28="✓",1,IF(V29="✓",2,IF(V30="✓",3,""))),"")</f>
        <v>1</v>
      </c>
      <c r="AA59" s="145"/>
      <c r="AB59" s="149"/>
      <c r="AC59" s="1047" t="s">
        <v>2057</v>
      </c>
      <c r="AD59" s="1047"/>
      <c r="AE59" s="1047"/>
      <c r="AF59" s="1047"/>
      <c r="AG59" s="1047"/>
      <c r="AH59" s="425">
        <f>IF(AND(F15&lt;&gt;4,F15&lt;&gt;5),0,IF(AV8="○",1,3))</f>
        <v>1</v>
      </c>
      <c r="AI59" s="153"/>
      <c r="AJ59" s="149"/>
      <c r="AK59" s="1047" t="s">
        <v>2057</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2058</v>
      </c>
      <c r="V60" s="1047"/>
      <c r="W60" s="1047"/>
      <c r="X60" s="1047"/>
      <c r="Y60" s="1047"/>
      <c r="Z60" s="152">
        <f>IF(AND(B9&lt;&gt;"処遇加算なし",F15=4),IF(V32="✓",1,IF(V33="✓",2,"")),"")</f>
        <v>1</v>
      </c>
      <c r="AA60" s="145"/>
      <c r="AB60" s="149"/>
      <c r="AC60" s="1047" t="s">
        <v>2058</v>
      </c>
      <c r="AD60" s="1047"/>
      <c r="AE60" s="1047"/>
      <c r="AF60" s="1047"/>
      <c r="AG60" s="1047"/>
      <c r="AH60" s="425">
        <f>IF(AND(F15&lt;&gt;4,F15&lt;&gt;5),0,IF(AW8="○",1,3))</f>
        <v>1</v>
      </c>
      <c r="AI60" s="153"/>
      <c r="AJ60" s="149"/>
      <c r="AK60" s="1047" t="s">
        <v>2058</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2059</v>
      </c>
      <c r="V61" s="1047"/>
      <c r="W61" s="1047"/>
      <c r="X61" s="1047"/>
      <c r="Y61" s="1047"/>
      <c r="Z61" s="152">
        <f>IF(AND(B9&lt;&gt;"処遇加算なし",F15=4),IF(V36="✓",1,IF(V37="✓",2,"")),"")</f>
        <v>1</v>
      </c>
      <c r="AA61" s="145"/>
      <c r="AB61" s="149"/>
      <c r="AC61" s="1047" t="s">
        <v>2059</v>
      </c>
      <c r="AD61" s="1047"/>
      <c r="AE61" s="1047"/>
      <c r="AF61" s="1047"/>
      <c r="AG61" s="1047"/>
      <c r="AH61" s="425">
        <f>IF(AND(F15&lt;&gt;4,F15&lt;&gt;5),0,IF(AX8="○",1,2))</f>
        <v>1</v>
      </c>
      <c r="AI61" s="153"/>
      <c r="AJ61" s="149"/>
      <c r="AK61" s="1047" t="s">
        <v>2059</v>
      </c>
      <c r="AL61" s="1047"/>
      <c r="AM61" s="1047"/>
      <c r="AN61" s="1047"/>
      <c r="AO61" s="1047"/>
      <c r="AP61" s="425">
        <f>IF(AX8="○",1,2)</f>
        <v>1</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2060</v>
      </c>
      <c r="V62" s="1047"/>
      <c r="W62" s="1047"/>
      <c r="X62" s="1047"/>
      <c r="Y62" s="1047"/>
      <c r="Z62" s="152">
        <f>IF(AND(B9&lt;&gt;"処遇加算なし",F15=4),IF(V40="✓",1,IF(V41="✓",2,"")),"")</f>
        <v>1</v>
      </c>
      <c r="AA62" s="145"/>
      <c r="AB62" s="149"/>
      <c r="AC62" s="1047" t="s">
        <v>2060</v>
      </c>
      <c r="AD62" s="1047"/>
      <c r="AE62" s="1047"/>
      <c r="AF62" s="1047"/>
      <c r="AG62" s="1047"/>
      <c r="AH62" s="425">
        <f>IF(AND(F15&lt;&gt;4,F15&lt;&gt;5),0,IF(AY8="○",1,2))</f>
        <v>1</v>
      </c>
      <c r="AI62" s="153"/>
      <c r="AJ62" s="149"/>
      <c r="AK62" s="1047" t="s">
        <v>2060</v>
      </c>
      <c r="AL62" s="1047"/>
      <c r="AM62" s="1047"/>
      <c r="AN62" s="1047"/>
      <c r="AO62" s="1047"/>
      <c r="AP62" s="425">
        <f>IF(AY8="○",1,2)</f>
        <v>1</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2061</v>
      </c>
      <c r="V63" s="1039"/>
      <c r="W63" s="1039"/>
      <c r="X63" s="1039"/>
      <c r="Y63" s="1039"/>
      <c r="Z63" s="152">
        <f>IF(AND(B9&lt;&gt;"処遇加算なし",F15=4),IF(V44="✓",1,IF(V45="✓",2,"")),"")</f>
        <v>1</v>
      </c>
      <c r="AA63" s="145"/>
      <c r="AB63" s="149"/>
      <c r="AC63" s="1039" t="s">
        <v>2061</v>
      </c>
      <c r="AD63" s="1039"/>
      <c r="AE63" s="1039"/>
      <c r="AF63" s="1039"/>
      <c r="AG63" s="1039"/>
      <c r="AH63" s="425">
        <f>IF(AND(F15&lt;&gt;4,F15&lt;&gt;5),0,IF(AZ8="○",1,2))</f>
        <v>1</v>
      </c>
      <c r="AI63" s="153"/>
      <c r="AJ63" s="149"/>
      <c r="AK63" s="1039" t="s">
        <v>2061</v>
      </c>
      <c r="AL63" s="1039"/>
      <c r="AM63" s="1039"/>
      <c r="AN63" s="1039"/>
      <c r="AO63" s="1039"/>
      <c r="AP63" s="425">
        <f>IF(AZ8="○",1,2)</f>
        <v>1</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ILn9PbQmx2tLpnbILytts3Y8T5nUzw9DTLZxnf2iORLSRgs0wkH/6BKcoi9ZAyXJQc/R2eBa1Z+HgfP0bpF5Rg==" saltValue="F1pngfcCjWCOLlJU9Nfbag==" spinCount="100000" sheet="1"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J73"/>
  <sheetViews>
    <sheetView showGridLines="0" view="pageBreakPreview" topLeftCell="F1" zoomScaleNormal="53" zoomScaleSheetLayoutView="100" workbookViewId="0">
      <selection activeCell="AQ7" sqref="AQ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2325</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v>
      </c>
      <c r="AT1" s="1036"/>
      <c r="AU1" s="1036"/>
      <c r="AV1" s="1036"/>
      <c r="AW1" s="1036"/>
      <c r="AX1" s="1036"/>
      <c r="AY1" s="1036"/>
      <c r="AZ1" s="1036"/>
      <c r="BA1" s="1036"/>
      <c r="BB1" s="1036"/>
      <c r="BC1" s="1036"/>
      <c r="BD1" s="1036"/>
      <c r="BE1" s="1037"/>
      <c r="BF1" s="1034" t="str">
        <f>IFERROR(VLOOKUP(Y5,【参考】数式用!$AH$2:$AI$34,2,FALSE),"")</f>
        <v>生活介護</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f>IF(AND(L9="ベア加算",Q49="ベア加算"),1,"")</f>
        <v>1</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2352</v>
      </c>
      <c r="Q5" s="1010"/>
      <c r="R5" s="1010"/>
      <c r="S5" s="1010"/>
      <c r="T5" s="1010"/>
      <c r="U5" s="1010"/>
      <c r="V5" s="1010"/>
      <c r="W5" s="1010"/>
      <c r="X5" s="1011"/>
      <c r="Y5" s="1087" t="s">
        <v>2249</v>
      </c>
      <c r="Z5" s="1087"/>
      <c r="AA5" s="1087"/>
      <c r="AB5" s="1087"/>
      <c r="AC5" s="1087"/>
      <c r="AD5" s="1087"/>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13</v>
      </c>
      <c r="M9" s="1132"/>
      <c r="N9" s="1132"/>
      <c r="O9" s="1132"/>
      <c r="P9" s="1133"/>
      <c r="Q9" s="1108" t="s">
        <v>2052</v>
      </c>
      <c r="R9" s="1109"/>
      <c r="S9" s="1109"/>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1.7999999999999999E-2</v>
      </c>
      <c r="C10" s="1135"/>
      <c r="D10" s="1135"/>
      <c r="E10" s="1135"/>
      <c r="F10" s="1136"/>
      <c r="G10" s="1134">
        <f>IFERROR(VLOOKUP(Y5,【参考】数式用!$A$5:$J$37,MATCH(G9,【参考】数式用!$B$4:$J$4,0)+1,0),"")</f>
        <v>0</v>
      </c>
      <c r="H10" s="1135"/>
      <c r="I10" s="1135"/>
      <c r="J10" s="1135"/>
      <c r="K10" s="1136"/>
      <c r="L10" s="1140">
        <f>IFERROR(VLOOKUP(Y5,【参考】数式用!$A$5:$J$37,MATCH(L9,【参考】数式用!$B$4:$J$4,0)+1,0),"")</f>
        <v>1.0999999999999999E-2</v>
      </c>
      <c r="M10" s="1141"/>
      <c r="N10" s="1141"/>
      <c r="O10" s="1141"/>
      <c r="P10" s="1142"/>
      <c r="Q10" s="1146">
        <f>SUM(B10,G10,L10)</f>
        <v>2.8999999999999998E-2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新加算Ⅳ</v>
      </c>
      <c r="W11" s="1076"/>
      <c r="X11" s="1076"/>
      <c r="Y11" s="1076"/>
      <c r="Z11" s="1076"/>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5.4999999999999993E-2</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新加算Ⅴ(13)</v>
      </c>
      <c r="W14" s="1076"/>
      <c r="X14" s="1076"/>
      <c r="Y14" s="1076"/>
      <c r="Z14" s="1076"/>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f>IFERROR(VLOOKUP(Y5,【参考】数式用!$A$5:$AB$37,MATCH(V14,【参考】数式用!$B$4:$AB$4,0)+1,FALSE),"")</f>
        <v>4.0999999999999995E-2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処遇加算Ⅰ特定加算なしベア加算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新加算Ⅲ</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4.3999999999999997E-2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1.0999999999999999E-2</v>
      </c>
      <c r="R50" s="1178"/>
      <c r="S50" s="1178"/>
      <c r="T50" s="1178"/>
      <c r="U50" s="1184"/>
      <c r="V50" s="1146">
        <f>SUM(G50,L50,Q50)</f>
        <v>5.4999999999999993E-2</v>
      </c>
      <c r="W50" s="1147"/>
      <c r="X50" s="1147"/>
      <c r="Y50" s="1147"/>
      <c r="Z50" s="1147"/>
      <c r="AA50" s="1033"/>
      <c r="AB50" s="1033"/>
      <c r="AC50" s="1185">
        <f>IFERROR(VLOOKUP(Y5,【参考】数式用!$A$5:$AB$37,MATCH(AC49,【参考】数式用!$B$4:$AB$4,0)+1,FALSE),"")</f>
        <v>6.699999999999999E-2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268400</v>
      </c>
      <c r="H51" s="1093"/>
      <c r="I51" s="1093"/>
      <c r="J51" s="1093"/>
      <c r="K51" s="55" t="s">
        <v>2117</v>
      </c>
      <c r="L51" s="1090">
        <f>IFERROR(ROUNDDOWN(ROUND(AM5*L50,0),0)*H53,"")</f>
        <v>0</v>
      </c>
      <c r="M51" s="1091"/>
      <c r="N51" s="1091"/>
      <c r="O51" s="1091"/>
      <c r="P51" s="55" t="s">
        <v>2117</v>
      </c>
      <c r="Q51" s="1092">
        <f>IFERROR(ROUNDDOWN(ROUND(AM5*Q50,0),0)*H53,"")</f>
        <v>67100</v>
      </c>
      <c r="R51" s="1093"/>
      <c r="S51" s="1093"/>
      <c r="T51" s="1093"/>
      <c r="U51" s="56" t="s">
        <v>2117</v>
      </c>
      <c r="V51" s="1193">
        <f>IFERROR(SUM(G51,L51,Q51),"")</f>
        <v>335500</v>
      </c>
      <c r="W51" s="1194"/>
      <c r="X51" s="1194"/>
      <c r="Y51" s="1194"/>
      <c r="Z51" s="57" t="s">
        <v>2117</v>
      </c>
      <c r="AB51" s="58"/>
      <c r="AC51" s="1092">
        <f>IFERROR(ROUNDDOWN(ROUND(AM5*AC50,0),0)*AD53,"")</f>
        <v>2043500</v>
      </c>
      <c r="AD51" s="1093"/>
      <c r="AE51" s="1093"/>
      <c r="AF51" s="1093"/>
      <c r="AG51" s="1093"/>
      <c r="AH51" s="56" t="s">
        <v>2117</v>
      </c>
      <c r="AS51" s="1044">
        <f>IFERROR(ROUNDDOWN(ROUND(AM5*(G50-B10),0),0)*H53,"")</f>
        <v>158600</v>
      </c>
      <c r="AT51" s="1044"/>
      <c r="AU51" s="1044"/>
      <c r="AV51" s="1044"/>
      <c r="AW51" s="1044">
        <f>IFERROR(ROUNDDOWN(ROUND(AM5*(L50-G10),0),0)*H53,"")</f>
        <v>0</v>
      </c>
      <c r="AX51" s="1044"/>
      <c r="AY51" s="1044"/>
      <c r="AZ51" s="1044"/>
      <c r="BA51" s="1044">
        <f>IFERROR(ROUNDDOWN(ROUND(AM5*(Q50-L10),0),0)*H53,"")</f>
        <v>0</v>
      </c>
      <c r="BB51" s="1044"/>
      <c r="BC51" s="1044"/>
      <c r="BD51" s="1044"/>
      <c r="BE51" s="1044">
        <f>IFERROR(ROUNDDOWN(ROUND(AM5*(AC50-Q10),0),0)*AD53,"")</f>
        <v>1159000</v>
      </c>
      <c r="BF51" s="1044"/>
      <c r="BG51" s="1044"/>
      <c r="BH51" s="1044"/>
      <c r="BI51" s="1044">
        <f>SUM(AS51:BH51)</f>
        <v>1317600</v>
      </c>
      <c r="BJ51" s="1044"/>
      <c r="BK51" s="1044"/>
      <c r="BL51" s="1044"/>
      <c r="BM51" s="141"/>
      <c r="BN51" s="1044">
        <f>IFERROR(ROUNDDOWN(ROUNDDOWN(ROUND(AM5*(VLOOKUP(Y5,【参考】数式用!$A$5:$AB$37,14,FALSE)),0),0)*AD53*0.5,0),"")</f>
        <v>838750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(134,200円/月)</v>
      </c>
      <c r="H52" s="1089"/>
      <c r="I52" s="1089"/>
      <c r="J52" s="1089"/>
      <c r="K52" s="1089"/>
      <c r="L52" s="1191" t="str">
        <f>IFERROR("("&amp;TEXT(L51/H53,"#,##0円")&amp;"/月)","")</f>
        <v>(0円/月)</v>
      </c>
      <c r="M52" s="1192"/>
      <c r="N52" s="1192"/>
      <c r="O52" s="1192"/>
      <c r="P52" s="1088"/>
      <c r="Q52" s="1089" t="str">
        <f>IFERROR("("&amp;TEXT(Q51/H53,"#,##0円")&amp;"/月)","")</f>
        <v>(33,550円/月)</v>
      </c>
      <c r="R52" s="1089"/>
      <c r="S52" s="1089"/>
      <c r="T52" s="1089"/>
      <c r="U52" s="1089"/>
      <c r="V52" s="1089" t="str">
        <f>IFERROR("("&amp;TEXT(V51/H53,"#,##0円")&amp;"/月)","")</f>
        <v>(167,750円/月)</v>
      </c>
      <c r="W52" s="1089"/>
      <c r="X52" s="1089"/>
      <c r="Y52" s="1089"/>
      <c r="Z52" s="1089"/>
      <c r="AB52" s="58"/>
      <c r="AC52" s="1191" t="str">
        <f>IFERROR("("&amp;TEXT(AC51/AD53,"#,##0円")&amp;"/月)","")</f>
        <v>(204,350円/月)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436">
        <f>IF(AND(B9&lt;&gt;"処遇加算なし",F15=4),IF(V21="✓",1,IF(V22="✓",2,"")),"")</f>
        <v>1</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43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43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436">
        <f>IF(AND(B9&lt;&gt;"処遇加算なし",F15=4),IF(V32="✓",1,IF(V33="✓",2,"")),"")</f>
        <v>2</v>
      </c>
      <c r="AA60" s="145"/>
      <c r="AB60" s="149"/>
      <c r="AC60" s="1047" t="s">
        <v>2380</v>
      </c>
      <c r="AD60" s="1047"/>
      <c r="AE60" s="1047"/>
      <c r="AF60" s="1047"/>
      <c r="AG60" s="1047"/>
      <c r="AH60" s="425">
        <f>IF(AND(F15&lt;&gt;4,F15&lt;&gt;5),0,IF(AW8="○",1,3))</f>
        <v>1</v>
      </c>
      <c r="AI60" s="153"/>
      <c r="AJ60" s="149"/>
      <c r="AK60" s="1047" t="s">
        <v>2380</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43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43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43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7rPM5zpgJO17l4C3qnCpXaOMvtoz2Tbmyaek7N7RZ8Wceq9wHHWNP1hyPEyR8+N417ZvzC6D7FxkYfSZORPtGg==" saltValue="bpptzn3/+ntw06FCow8hCg=="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J73"/>
  <sheetViews>
    <sheetView showGridLines="0" view="pageBreakPreview" topLeftCell="F1" zoomScaleNormal="53" zoomScaleSheetLayoutView="100" workbookViewId="0">
      <selection activeCell="Y5" sqref="Y5:AD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2326</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処遇加算Ⅲ特定加算なしベア加算なし</v>
      </c>
      <c r="AT1" s="1036"/>
      <c r="AU1" s="1036"/>
      <c r="AV1" s="1036"/>
      <c r="AW1" s="1036"/>
      <c r="AX1" s="1036"/>
      <c r="AY1" s="1036"/>
      <c r="AZ1" s="1036"/>
      <c r="BA1" s="1036"/>
      <c r="BB1" s="1036"/>
      <c r="BC1" s="1036"/>
      <c r="BD1" s="1036"/>
      <c r="BE1" s="1037"/>
      <c r="BF1" s="1034" t="str">
        <f>IFERROR(VLOOKUP(Y5,【参考】数式用!$AH$2:$AI$34,2,FALSE),"")</f>
        <v>就労継続支援Ａ型</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1334567892</v>
      </c>
      <c r="C5" s="1104"/>
      <c r="D5" s="1104"/>
      <c r="E5" s="1104"/>
      <c r="F5" s="1104"/>
      <c r="G5" s="1105" t="s">
        <v>2355</v>
      </c>
      <c r="H5" s="1105"/>
      <c r="I5" s="1105"/>
      <c r="J5" s="1106" t="s">
        <v>4</v>
      </c>
      <c r="K5" s="1106"/>
      <c r="L5" s="1106"/>
      <c r="M5" s="1107" t="s">
        <v>1182</v>
      </c>
      <c r="N5" s="1107"/>
      <c r="O5" s="1107"/>
      <c r="P5" s="1009" t="s">
        <v>2356</v>
      </c>
      <c r="Q5" s="1010"/>
      <c r="R5" s="1010"/>
      <c r="S5" s="1010"/>
      <c r="T5" s="1010"/>
      <c r="U5" s="1010"/>
      <c r="V5" s="1010"/>
      <c r="W5" s="1010"/>
      <c r="X5" s="1011"/>
      <c r="Y5" s="1087" t="s">
        <v>2257</v>
      </c>
      <c r="Z5" s="1087"/>
      <c r="AA5" s="1087"/>
      <c r="AB5" s="1087"/>
      <c r="AC5" s="1087"/>
      <c r="AD5" s="1087"/>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2.3E-2</v>
      </c>
      <c r="C10" s="1135"/>
      <c r="D10" s="1135"/>
      <c r="E10" s="1135"/>
      <c r="F10" s="1136"/>
      <c r="G10" s="1134">
        <f>IFERROR(VLOOKUP(Y5,【参考】数式用!$A$5:$J$37,MATCH(G9,【参考】数式用!$B$4:$J$4,0)+1,0),"")</f>
        <v>0</v>
      </c>
      <c r="H10" s="1135"/>
      <c r="I10" s="1135"/>
      <c r="J10" s="1135"/>
      <c r="K10" s="1136"/>
      <c r="L10" s="1140">
        <f>IFERROR(VLOOKUP(Y5,【参考】数式用!$A$5:$J$37,MATCH(L9,【参考】数式用!$B$4:$J$4,0)+1,0),"")</f>
        <v>0</v>
      </c>
      <c r="M10" s="1141"/>
      <c r="N10" s="1141"/>
      <c r="O10" s="1141"/>
      <c r="P10" s="1142"/>
      <c r="Q10" s="1146">
        <f>SUM(B10,G10,L10)</f>
        <v>2.3E-2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新加算Ⅴ(11)</v>
      </c>
      <c r="W11" s="1076"/>
      <c r="X11" s="1076"/>
      <c r="Y11" s="1076"/>
      <c r="Z11" s="1076"/>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214">
        <f>IFERROR(VLOOKUP(Y5,【参考】数式用!$A$5:$AB$37,MATCH(V11,【参考】数式用!$B$4:$AB$4,0)+1,FALSE),"")</f>
        <v>0.05</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新加算Ⅴ(14)</v>
      </c>
      <c r="W14" s="1076"/>
      <c r="X14" s="1076"/>
      <c r="Y14" s="1076"/>
      <c r="Z14" s="1076"/>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f>IFERROR(VLOOKUP(Y5,【参考】数式用!$A$5:$AB$37,MATCH(V14,【参考】数式用!$B$4:$AB$4,0)+1,FALSE),"")</f>
        <v>3.2000000000000001E-2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処遇加算Ⅱ</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処遇加算Ⅱ特定加算なしベア加算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処遇加算Ⅱ</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新加算Ⅳ</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4.1000000000000002E-2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1.2999999999999999E-2</v>
      </c>
      <c r="R50" s="1178"/>
      <c r="S50" s="1178"/>
      <c r="T50" s="1178"/>
      <c r="U50" s="1184"/>
      <c r="V50" s="1146">
        <f>SUM(G50,L50,Q50)</f>
        <v>5.3999999999999999E-2</v>
      </c>
      <c r="W50" s="1147"/>
      <c r="X50" s="1147"/>
      <c r="Y50" s="1147"/>
      <c r="Z50" s="1147"/>
      <c r="AA50" s="1033"/>
      <c r="AB50" s="1033"/>
      <c r="AC50" s="1185">
        <f>IFERROR(VLOOKUP(Y5,【参考】数式用!$A$5:$AB$37,MATCH(AC49,【参考】数式用!$B$4:$AB$4,0)+1,FALSE),"")</f>
        <v>6.3E-2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282900</v>
      </c>
      <c r="H51" s="1093"/>
      <c r="I51" s="1093"/>
      <c r="J51" s="1093"/>
      <c r="K51" s="55" t="s">
        <v>2117</v>
      </c>
      <c r="L51" s="1090">
        <f>IFERROR(ROUNDDOWN(ROUND(AM5*L50,0),0)*H53,"")</f>
        <v>0</v>
      </c>
      <c r="M51" s="1091"/>
      <c r="N51" s="1091"/>
      <c r="O51" s="1091"/>
      <c r="P51" s="55" t="s">
        <v>2117</v>
      </c>
      <c r="Q51" s="1092">
        <f>IFERROR(ROUNDDOWN(ROUND(AM5*Q50,0),0)*H53,"")</f>
        <v>89700</v>
      </c>
      <c r="R51" s="1093"/>
      <c r="S51" s="1093"/>
      <c r="T51" s="1093"/>
      <c r="U51" s="56" t="s">
        <v>2117</v>
      </c>
      <c r="V51" s="1193">
        <f>IFERROR(SUM(G51,L51,Q51),"")</f>
        <v>372600</v>
      </c>
      <c r="W51" s="1194"/>
      <c r="X51" s="1194"/>
      <c r="Y51" s="1194"/>
      <c r="Z51" s="57" t="s">
        <v>2117</v>
      </c>
      <c r="AB51" s="58"/>
      <c r="AC51" s="1092">
        <f>IFERROR(ROUNDDOWN(ROUND(AM5*AC50,0),0)*AD53,"")</f>
        <v>2173500</v>
      </c>
      <c r="AD51" s="1093"/>
      <c r="AE51" s="1093"/>
      <c r="AF51" s="1093"/>
      <c r="AG51" s="1093"/>
      <c r="AH51" s="56" t="s">
        <v>2117</v>
      </c>
      <c r="AS51" s="1044">
        <f>IFERROR(ROUNDDOWN(ROUND(AM5*(G50-B10),0),0)*H53,"")</f>
        <v>124200</v>
      </c>
      <c r="AT51" s="1044"/>
      <c r="AU51" s="1044"/>
      <c r="AV51" s="1044"/>
      <c r="AW51" s="1044">
        <f>IFERROR(ROUNDDOWN(ROUND(AM5*(L50-G10),0),0)*H53,"")</f>
        <v>0</v>
      </c>
      <c r="AX51" s="1044"/>
      <c r="AY51" s="1044"/>
      <c r="AZ51" s="1044"/>
      <c r="BA51" s="1044">
        <f>IFERROR(ROUNDDOWN(ROUND(AM5*(Q50-L10),0),0)*H53,"")</f>
        <v>89700</v>
      </c>
      <c r="BB51" s="1044"/>
      <c r="BC51" s="1044"/>
      <c r="BD51" s="1044"/>
      <c r="BE51" s="1044">
        <f>IFERROR(ROUNDDOWN(ROUND(AM5*(AC50-Q10),0),0)*AD53,"")</f>
        <v>1380000</v>
      </c>
      <c r="BF51" s="1044"/>
      <c r="BG51" s="1044"/>
      <c r="BH51" s="1044"/>
      <c r="BI51" s="1044">
        <f>SUM(AS51:BH51)</f>
        <v>1593900</v>
      </c>
      <c r="BJ51" s="1044"/>
      <c r="BK51" s="1044"/>
      <c r="BL51" s="1044"/>
      <c r="BM51" s="141"/>
      <c r="BN51" s="1044">
        <f>IFERROR(ROUNDDOWN(ROUNDDOWN(ROUND(AM5*(VLOOKUP(Y5,【参考】数式用!$A$5:$AB$37,14,FALSE)),0),0)*AD53*0.5,0),"")</f>
        <v>1086750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(141,450円/月)</v>
      </c>
      <c r="H52" s="1089"/>
      <c r="I52" s="1089"/>
      <c r="J52" s="1089"/>
      <c r="K52" s="1089"/>
      <c r="L52" s="1191" t="str">
        <f>IFERROR("("&amp;TEXT(L51/H53,"#,##0円")&amp;"/月)","")</f>
        <v>(0円/月)</v>
      </c>
      <c r="M52" s="1192"/>
      <c r="N52" s="1192"/>
      <c r="O52" s="1192"/>
      <c r="P52" s="1088"/>
      <c r="Q52" s="1089" t="str">
        <f>IFERROR("("&amp;TEXT(Q51/H53,"#,##0円")&amp;"/月)","")</f>
        <v>(44,850円/月)</v>
      </c>
      <c r="R52" s="1089"/>
      <c r="S52" s="1089"/>
      <c r="T52" s="1089"/>
      <c r="U52" s="1089"/>
      <c r="V52" s="1089" t="str">
        <f>IFERROR("("&amp;TEXT(V51/H53,"#,##0円")&amp;"/月)","")</f>
        <v>(186,300円/月)</v>
      </c>
      <c r="W52" s="1089"/>
      <c r="X52" s="1089"/>
      <c r="Y52" s="1089"/>
      <c r="Z52" s="1089"/>
      <c r="AB52" s="58"/>
      <c r="AC52" s="1191" t="str">
        <f>IFERROR("("&amp;TEXT(AC51/AD53,"#,##0円")&amp;"/月)","")</f>
        <v>(217,350円/月)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426">
        <f>IF(AND(B9&lt;&gt;"処遇加算なし",F15=4),IF(V21="✓",1,IF(V22="✓",2,"")),"")</f>
        <v>2</v>
      </c>
      <c r="AA57" s="145"/>
      <c r="AB57" s="149"/>
      <c r="AC57" s="1039" t="s">
        <v>2377</v>
      </c>
      <c r="AD57" s="1039"/>
      <c r="AE57" s="1039"/>
      <c r="AF57" s="1039"/>
      <c r="AG57" s="1039"/>
      <c r="AH57" s="425">
        <f>IF(AND(F15&lt;&gt;4,F15&lt;&gt;5),0,IF(AT8="○",1,0))</f>
        <v>1</v>
      </c>
      <c r="AI57" s="153"/>
      <c r="AJ57" s="149"/>
      <c r="AK57" s="1039" t="s">
        <v>2377</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42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42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426">
        <f>IF(AND(B9&lt;&gt;"処遇加算なし",F15=4),IF(V32="✓",1,IF(V33="✓",2,"")),"")</f>
        <v>2</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42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42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42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21G/q64mQTz/cMAAGktVoyepeEX6Nnaj18aIvevNl/k3zPYDj3LlbMA2NLQgD47Lcrj636Z+EIWYPY14YaWNg==" saltValue="AzqCfyhkS9WzDALr1ARNgA=="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J73"/>
  <sheetViews>
    <sheetView showGridLines="0" view="pageBreakPreview" topLeftCell="F1" zoomScaleNormal="53" zoomScaleSheetLayoutView="100" workbookViewId="0">
      <selection activeCell="AA14" sqref="AA14:AP1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2327</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198" t="s">
        <v>13</v>
      </c>
      <c r="BB50" s="1199"/>
      <c r="BC50" s="1199"/>
      <c r="BD50" s="1200"/>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J73"/>
  <sheetViews>
    <sheetView showGridLines="0" view="pageBreakPreview" topLeftCell="F1" zoomScaleNormal="53" zoomScaleSheetLayoutView="100" workbookViewId="0">
      <selection activeCell="AO7" sqref="AO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2328</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2330</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CJ73"/>
  <sheetViews>
    <sheetView showGridLines="0" view="pageBreakPreview" topLeftCell="F1" zoomScaleNormal="53" zoomScaleSheetLayoutView="100" workbookViewId="0">
      <selection activeCell="AQ7" sqref="AQ7:AQ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2331</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135887</cp:lastModifiedBy>
  <cp:lastPrinted>2024-03-18T06:59:04Z</cp:lastPrinted>
  <dcterms:created xsi:type="dcterms:W3CDTF">2015-06-05T18:19:34Z</dcterms:created>
  <dcterms:modified xsi:type="dcterms:W3CDTF">2024-03-31T03:23:21Z</dcterms:modified>
</cp:coreProperties>
</file>